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D:\carlos\Downloads\"/>
    </mc:Choice>
  </mc:AlternateContent>
  <workbookProtection workbookAlgorithmName="SHA-512" workbookHashValue="EK70u1VJ2Ts0Z9Rd/hxQ6NUbfM+ud9TJMQ1drh4fS9JqfCBKLe1XFq7jfVzAZ+HnDq9c7Ep0ly6POS//bnBHtg==" workbookSaltValue="TpTqAi1mabazEXQFZ4k7Mg==" workbookSpinCount="100000" lockStructure="1"/>
  <bookViews>
    <workbookView xWindow="0" yWindow="0" windowWidth="24000" windowHeight="9885"/>
  </bookViews>
  <sheets>
    <sheet name="Formulário" sheetId="2" r:id="rId1"/>
    <sheet name="Resultado" sheetId="3" r:id="rId2"/>
    <sheet name="Dados" sheetId="4" state="hidden" r:id="rId3"/>
    <sheet name="Giox" sheetId="5" state="hidden" r:id="rId4"/>
    <sheet name="Engine" sheetId="1" state="hidden" r:id="rId5"/>
  </sheets>
  <calcPr calcId="152511"/>
</workbook>
</file>

<file path=xl/calcChain.xml><?xml version="1.0" encoding="utf-8"?>
<calcChain xmlns="http://schemas.openxmlformats.org/spreadsheetml/2006/main">
  <c r="A55" i="1" l="1"/>
  <c r="H34" i="3" l="1"/>
  <c r="C6" i="5"/>
  <c r="E22" i="3"/>
  <c r="E24" i="3"/>
  <c r="H48" i="3" l="1"/>
  <c r="H6" i="3"/>
  <c r="H30" i="3"/>
  <c r="H28" i="3"/>
  <c r="B21" i="1"/>
  <c r="B23" i="1"/>
  <c r="H22" i="3" l="1"/>
  <c r="F33" i="5"/>
  <c r="D33" i="5"/>
  <c r="C33" i="5"/>
  <c r="H52" i="3" s="1"/>
  <c r="H46" i="3"/>
  <c r="H44" i="3"/>
  <c r="H36" i="3"/>
  <c r="H40" i="3"/>
  <c r="H38" i="3"/>
  <c r="Q24" i="3"/>
  <c r="P24" i="3"/>
  <c r="H24" i="3" s="1"/>
  <c r="R24" i="3"/>
  <c r="H16" i="3" l="1"/>
  <c r="H10" i="3"/>
  <c r="H8" i="3"/>
  <c r="B12" i="3" l="1"/>
  <c r="E52" i="3" l="1"/>
  <c r="D15" i="1" l="1"/>
  <c r="C6" i="1" l="1"/>
  <c r="A6" i="1"/>
  <c r="B41" i="1" s="1"/>
  <c r="B47" i="1"/>
  <c r="B49" i="1" s="1"/>
  <c r="E19" i="1"/>
  <c r="F15" i="1"/>
  <c r="B33" i="1" l="1"/>
  <c r="C33" i="1" s="1"/>
  <c r="D33" i="1" s="1"/>
  <c r="A57" i="1"/>
  <c r="E39" i="1"/>
  <c r="A53" i="1"/>
  <c r="B53" i="1" s="1"/>
  <c r="C53" i="1" s="1"/>
  <c r="G53" i="1" s="1"/>
  <c r="A51" i="1"/>
  <c r="B51" i="1" s="1"/>
  <c r="C51" i="1" s="1"/>
  <c r="G51" i="1" s="1"/>
  <c r="B31" i="1"/>
  <c r="E11" i="1"/>
  <c r="A33" i="1"/>
  <c r="F33" i="1" s="1"/>
  <c r="G33" i="1" s="1"/>
  <c r="A11" i="1"/>
  <c r="B11" i="1" s="1"/>
  <c r="C11" i="1" s="1"/>
  <c r="G11" i="1" s="1"/>
  <c r="D44" i="3" s="1"/>
  <c r="A21" i="1"/>
  <c r="C21" i="1" s="1"/>
  <c r="A39" i="1"/>
  <c r="B39" i="1" s="1"/>
  <c r="C39" i="1" s="1"/>
  <c r="G39" i="1" s="1"/>
  <c r="D16" i="3" s="1"/>
  <c r="A23" i="1"/>
  <c r="A13" i="1"/>
  <c r="C13" i="1" s="1"/>
  <c r="A35" i="1"/>
  <c r="B35" i="1" s="1"/>
  <c r="E35" i="1" s="1"/>
  <c r="G35" i="1" s="1"/>
  <c r="D18" i="3" s="1"/>
  <c r="A41" i="1"/>
  <c r="C41" i="1" s="1"/>
  <c r="A47" i="1"/>
  <c r="A49" i="1" s="1"/>
  <c r="G49" i="1" s="1"/>
  <c r="D54" i="3" s="1"/>
  <c r="Q54" i="3" s="1"/>
  <c r="H54" i="3" s="1"/>
  <c r="A15" i="1"/>
  <c r="C15" i="1" s="1"/>
  <c r="G15" i="1" s="1"/>
  <c r="D6" i="3" s="1"/>
  <c r="D6" i="1"/>
  <c r="G6" i="1" s="1"/>
  <c r="E13" i="1"/>
  <c r="A29" i="1"/>
  <c r="G29" i="1" s="1"/>
  <c r="D38" i="3" s="1"/>
  <c r="A37" i="1" l="1"/>
  <c r="B37" i="1" s="1"/>
  <c r="G37" i="1" s="1"/>
  <c r="D20" i="3" s="1"/>
  <c r="D14" i="3"/>
  <c r="F57" i="1"/>
  <c r="F53" i="1"/>
  <c r="F51" i="1"/>
  <c r="F55" i="1"/>
  <c r="C23" i="1"/>
  <c r="D23" i="1" s="1"/>
  <c r="F23" i="1" s="1"/>
  <c r="G23" i="1" s="1"/>
  <c r="D22" i="3" s="1"/>
  <c r="G47" i="1"/>
  <c r="D52" i="3" s="1"/>
  <c r="A9" i="1"/>
  <c r="C9" i="1" s="1"/>
  <c r="G9" i="1" s="1"/>
  <c r="D48" i="3" s="1"/>
  <c r="A25" i="1"/>
  <c r="B25" i="1" s="1"/>
  <c r="D25" i="1" s="1"/>
  <c r="E25" i="1" s="1"/>
  <c r="F25" i="1" s="1"/>
  <c r="G25" i="1" s="1"/>
  <c r="D24" i="3" s="1"/>
  <c r="A45" i="1"/>
  <c r="C45" i="1" s="1"/>
  <c r="G45" i="1" s="1"/>
  <c r="D26" i="3" s="1"/>
  <c r="G21" i="1"/>
  <c r="F22" i="3" s="1"/>
  <c r="G13" i="1"/>
  <c r="D46" i="3" s="1"/>
  <c r="A19" i="1"/>
  <c r="C19" i="1" s="1"/>
  <c r="G19" i="1" s="1"/>
  <c r="D10" i="3" s="1"/>
  <c r="A17" i="1"/>
  <c r="B17" i="1" s="1"/>
  <c r="D17" i="1" s="1"/>
  <c r="G17" i="1" s="1"/>
  <c r="D8" i="3" s="1"/>
  <c r="A27" i="1"/>
  <c r="B27" i="1" s="1"/>
  <c r="D27" i="1" s="1"/>
  <c r="A31" i="1"/>
  <c r="C31" i="1" s="1"/>
  <c r="D31" i="1" s="1"/>
  <c r="G31" i="1" s="1"/>
  <c r="D40" i="3" s="1"/>
  <c r="F41" i="1"/>
  <c r="F17" i="5" l="1"/>
  <c r="E17" i="5"/>
  <c r="E7" i="5" s="1"/>
  <c r="E6" i="5" s="1"/>
  <c r="F7" i="5"/>
  <c r="F6" i="5" s="1"/>
  <c r="Q26" i="3"/>
  <c r="P26" i="3" s="1"/>
  <c r="H26" i="3" s="1"/>
  <c r="D30" i="3"/>
  <c r="Q30" i="3" s="1"/>
  <c r="P30" i="3" s="1"/>
  <c r="C57" i="1"/>
  <c r="G57" i="1" s="1"/>
  <c r="C55" i="1"/>
  <c r="G55" i="1" s="1"/>
  <c r="D28" i="3" s="1"/>
  <c r="G22" i="3"/>
  <c r="C17" i="5" s="1"/>
  <c r="E27" i="1"/>
  <c r="F27" i="1" s="1"/>
  <c r="G27" i="1" s="1"/>
  <c r="G41" i="1"/>
  <c r="D34" i="3" s="1"/>
  <c r="A43" i="1"/>
  <c r="G43" i="1" s="1"/>
  <c r="D17" i="5" l="1"/>
  <c r="D6" i="5" s="1"/>
  <c r="B17" i="5"/>
  <c r="B6" i="5" s="1"/>
  <c r="D36" i="3"/>
</calcChain>
</file>

<file path=xl/comments1.xml><?xml version="1.0" encoding="utf-8"?>
<comments xmlns="http://schemas.openxmlformats.org/spreadsheetml/2006/main">
  <authors>
    <author>Vendedor</author>
  </authors>
  <commentList>
    <comment ref="A63" authorId="0" shapeId="0">
      <text>
        <r>
          <rPr>
            <b/>
            <sz val="9"/>
            <color indexed="81"/>
            <rFont val="Tahoma"/>
            <family val="2"/>
          </rPr>
          <t>Vendedor: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Tahoma"/>
            <family val="2"/>
          </rPr>
          <t>IVAN ZANCHET</t>
        </r>
      </text>
    </comment>
  </commentList>
</comments>
</file>

<file path=xl/sharedStrings.xml><?xml version="1.0" encoding="utf-8"?>
<sst xmlns="http://schemas.openxmlformats.org/spreadsheetml/2006/main" count="401" uniqueCount="284">
  <si>
    <t xml:space="preserve">TAMANHO DA CASA </t>
  </si>
  <si>
    <t>X</t>
  </si>
  <si>
    <t>M2</t>
  </si>
  <si>
    <t>LINHA ASSOALHO</t>
  </si>
  <si>
    <t xml:space="preserve">BITOLA </t>
  </si>
  <si>
    <t>4X9</t>
  </si>
  <si>
    <t>COMPRIMENTO</t>
  </si>
  <si>
    <t>BARROTE ASSOALHO</t>
  </si>
  <si>
    <t>AREDONDA</t>
  </si>
  <si>
    <t>MAIS 1</t>
  </si>
  <si>
    <t>ALTURA</t>
  </si>
  <si>
    <t>TOTAL</t>
  </si>
  <si>
    <t xml:space="preserve">COM DIVISORIA </t>
  </si>
  <si>
    <t xml:space="preserve">TOTAL </t>
  </si>
  <si>
    <t>PE DIREITO</t>
  </si>
  <si>
    <t>MAIS 2</t>
  </si>
  <si>
    <t>REGUA PAREDE</t>
  </si>
  <si>
    <t>MAIS 4 ML</t>
  </si>
  <si>
    <t>7X2</t>
  </si>
  <si>
    <t>ML</t>
  </si>
  <si>
    <t>TELHADO</t>
  </si>
  <si>
    <t>TAMANHO CAIBRO</t>
  </si>
  <si>
    <t>DISTANCIA CAIBROS</t>
  </si>
  <si>
    <t>ACRESCENTA</t>
  </si>
  <si>
    <t>RIPA TELHA BARRO</t>
  </si>
  <si>
    <t>TOTAL CARREIROS</t>
  </si>
  <si>
    <t xml:space="preserve">TOTAL DE RIPA </t>
  </si>
  <si>
    <t>RIPA TELHA BRAZILIT</t>
  </si>
  <si>
    <t>FORRO DENTRO CASA</t>
  </si>
  <si>
    <t>ACRESCENTAR M2</t>
  </si>
  <si>
    <t>FORRO DO BERADO</t>
  </si>
  <si>
    <t>LARGURA DO BERADO</t>
  </si>
  <si>
    <t>TOTAL M2 FORRO</t>
  </si>
  <si>
    <t>BITOLA</t>
  </si>
  <si>
    <t>QUANTIDADE LINHA</t>
  </si>
  <si>
    <t xml:space="preserve">PONTALETE </t>
  </si>
  <si>
    <t xml:space="preserve">ACRESCENTAR </t>
  </si>
  <si>
    <t>ACRESCENTAR</t>
  </si>
  <si>
    <t>TIRANTE FORRO</t>
  </si>
  <si>
    <t>LARGURA DO TIRANTE</t>
  </si>
  <si>
    <t>4X2</t>
  </si>
  <si>
    <t>ABA DO TELHADO</t>
  </si>
  <si>
    <t xml:space="preserve">TOTAL ABA </t>
  </si>
  <si>
    <r>
      <rPr>
        <b/>
        <sz val="20"/>
        <color theme="1"/>
        <rFont val="Calibri"/>
        <family val="2"/>
        <scheme val="minor"/>
      </rPr>
      <t>CALCULO DE CASA</t>
    </r>
    <r>
      <rPr>
        <sz val="11"/>
        <color theme="1"/>
        <rFont val="Calibri"/>
        <family val="2"/>
        <scheme val="minor"/>
      </rPr>
      <t xml:space="preserve"> </t>
    </r>
  </si>
  <si>
    <t>LARGURA</t>
  </si>
  <si>
    <t>ASSOALHO M2</t>
  </si>
  <si>
    <t>TOTAL ASSOALHO M2</t>
  </si>
  <si>
    <t>TOTAL DA CASA M2</t>
  </si>
  <si>
    <t xml:space="preserve">PEÇAS </t>
  </si>
  <si>
    <t>TOTAL ML 4X9</t>
  </si>
  <si>
    <t xml:space="preserve">ALTURA </t>
  </si>
  <si>
    <t xml:space="preserve">TOTAL DA DIVISORIA </t>
  </si>
  <si>
    <t>MAIS 10 M2</t>
  </si>
  <si>
    <t>TOTAL DE PE DIREITO</t>
  </si>
  <si>
    <t>TOTAL REGUA PAREDE</t>
  </si>
  <si>
    <t>TAMANHO DOS CAIBROS 4X9</t>
  </si>
  <si>
    <t xml:space="preserve">TOTAL CAIBRO DA CASA </t>
  </si>
  <si>
    <t>QUANTIDADE CAIBROS</t>
  </si>
  <si>
    <t xml:space="preserve">TOTAL DE RIPA TELHA BARRO </t>
  </si>
  <si>
    <t>TOTAL DA RIPA TELHA BRAZILIT</t>
  </si>
  <si>
    <t>COM DIVISORIA ML</t>
  </si>
  <si>
    <t>TOTAL M2 FORRO BERADO</t>
  </si>
  <si>
    <t>QUANTIDADE ML 4X9 TESOURAS</t>
  </si>
  <si>
    <t>LINHA TELHADO COMPRIMENTO</t>
  </si>
  <si>
    <t>QUANTIDADE ML 4X9 LINHAS</t>
  </si>
  <si>
    <t>QUANTIDADE ML PONTALETE 4X9</t>
  </si>
  <si>
    <t>LINHA CASA ( TESOURA)</t>
  </si>
  <si>
    <t>QUANTIDADE DE ML 4X9</t>
  </si>
  <si>
    <t xml:space="preserve">QUANTID. PEÇAS </t>
  </si>
  <si>
    <t xml:space="preserve">CAIBRO FORRO </t>
  </si>
  <si>
    <t>QUANTIDADE TIRANTES ML 4X2</t>
  </si>
  <si>
    <t>QUANTIDADE CAIBRO ML 7 X 2</t>
  </si>
  <si>
    <t xml:space="preserve">TOTAL ML ABA DA CASA </t>
  </si>
  <si>
    <t>PAREDE ML FRONTAL</t>
  </si>
  <si>
    <t>TESOURA LARGURA UM LADO</t>
  </si>
  <si>
    <t xml:space="preserve">QUANTIDADE TESOURAS </t>
  </si>
  <si>
    <t>TOTAL LINHAS TESOURAS</t>
  </si>
  <si>
    <t xml:space="preserve">RODAPE </t>
  </si>
  <si>
    <t xml:space="preserve">TOTAL DE RODAPE DA CASA </t>
  </si>
  <si>
    <t xml:space="preserve">MEIA CANA DENTRO CASA </t>
  </si>
  <si>
    <t xml:space="preserve">TOTAL MEIA CANA </t>
  </si>
  <si>
    <t xml:space="preserve">TOTAL M2 FRONTAL C/ DIVISORIA </t>
  </si>
  <si>
    <t>NA TABELA PODEM FAZER ALTERAÇÕES NAS CELULAS DE COR VERDE, AS RIPAS JÁ ESTÃO COLOCADAS COM SOBRA.</t>
  </si>
  <si>
    <t>Estimativa de consumo de material para a construção de uma casa de madeira simples</t>
  </si>
  <si>
    <t>Largura:</t>
  </si>
  <si>
    <t>Comprimento:</t>
  </si>
  <si>
    <t>ARREDONDA</t>
  </si>
  <si>
    <t>BEIRADO</t>
  </si>
  <si>
    <t>Largura do beirado:</t>
  </si>
  <si>
    <t>Distância entre caibros:</t>
  </si>
  <si>
    <t>Dimensões</t>
  </si>
  <si>
    <t>Telhado</t>
  </si>
  <si>
    <t>Tipo de telha:</t>
  </si>
  <si>
    <t>Frontal (paredes):</t>
  </si>
  <si>
    <t>Régua de 7 (paredes):</t>
  </si>
  <si>
    <t>Acabamento</t>
  </si>
  <si>
    <t>Forro:</t>
  </si>
  <si>
    <t>Forro do beirado:</t>
  </si>
  <si>
    <t>Assoalho:</t>
  </si>
  <si>
    <t>Abas:</t>
  </si>
  <si>
    <t>Rodapé:</t>
  </si>
  <si>
    <t>Meia-cana:</t>
  </si>
  <si>
    <t>Linhas assoalho:</t>
  </si>
  <si>
    <t>Barrotes assoalho:</t>
  </si>
  <si>
    <t>Paredes da Casa</t>
  </si>
  <si>
    <t>Assoalho</t>
  </si>
  <si>
    <t>Forro</t>
  </si>
  <si>
    <t>Fibrocimento 6 mm</t>
  </si>
  <si>
    <t>2 x 9 cm</t>
  </si>
  <si>
    <t>4 x 9 cm</t>
  </si>
  <si>
    <t>Bitola dos caibros:</t>
  </si>
  <si>
    <t>Caibros:</t>
  </si>
  <si>
    <t>Tesouras:</t>
  </si>
  <si>
    <t>cm</t>
  </si>
  <si>
    <t>Linhas:</t>
  </si>
  <si>
    <t>Pontaletes:</t>
  </si>
  <si>
    <t>Tirantes:</t>
  </si>
  <si>
    <t>Pé direito:</t>
  </si>
  <si>
    <t>x 300 cm</t>
  </si>
  <si>
    <t>Ripas:</t>
  </si>
  <si>
    <t>Tipo de rodapé:</t>
  </si>
  <si>
    <t>Pinus Autoclave</t>
  </si>
  <si>
    <t>Pinus Natural</t>
  </si>
  <si>
    <t>Angelim Pedra</t>
  </si>
  <si>
    <t>Cambará</t>
  </si>
  <si>
    <t>Tipos de Madeira</t>
  </si>
  <si>
    <t>Paredes:</t>
  </si>
  <si>
    <t>Estrutura do Telhado:</t>
  </si>
  <si>
    <t>Estrutura do Assoalho:</t>
  </si>
  <si>
    <t>Estrutura do Forro:</t>
  </si>
  <si>
    <t>Eucalipto</t>
  </si>
  <si>
    <t>Tipos de telhas</t>
  </si>
  <si>
    <t>Rodapé</t>
  </si>
  <si>
    <t>Caibros</t>
  </si>
  <si>
    <t>Variáveis</t>
  </si>
  <si>
    <t>Frontal:</t>
  </si>
  <si>
    <t>01013 - FRONTAL PINUS 2 X 14 X 3,00</t>
  </si>
  <si>
    <t>01024 - FRONTAL AUTOCLAVE COM NÓ 2 X 14 X 3,00</t>
  </si>
  <si>
    <t>01027 - FRONTAL EUCALIPTO 2 X 8,5 X 3,00</t>
  </si>
  <si>
    <t>Vigas:</t>
  </si>
  <si>
    <t>Buscar no sistema por...</t>
  </si>
  <si>
    <t>00450 - VIGA AUTOCLAVE 4 X 9 X 3,00</t>
  </si>
  <si>
    <t>00260 - VIGA CAMBARA 4 X 9 X 3,00</t>
  </si>
  <si>
    <t>00211 - VIGA EUCALIPTO 4 X 9 X 3,00</t>
  </si>
  <si>
    <t>00942 - VIGA PEDRA 4 X 9 X 3,00</t>
  </si>
  <si>
    <t>00385 - VIGA PINUS 4 X 9 X 3,00</t>
  </si>
  <si>
    <t>Estrutura das paredes:</t>
  </si>
  <si>
    <t>Vigas telhado:</t>
  </si>
  <si>
    <t>00386 - VIGA PINUS 4 X 9 X 4,00</t>
  </si>
  <si>
    <t>00451 - VIGA AUTOCLAVE 4 X 9 X 4,00</t>
  </si>
  <si>
    <t>00452 - VIGA AUTOCLAVE 4 X 9 X 6,00</t>
  </si>
  <si>
    <t>VIGA AUTOCLAVE 4 X 9 (acima de 6m terá emendas)</t>
  </si>
  <si>
    <t>VIGA PINUS 4 X 9 (acima de 4m terá emendas)</t>
  </si>
  <si>
    <t>00212 - VIGA EUCALIPTO 4 X 9 X 4,00</t>
  </si>
  <si>
    <t>VIGA EUCALIPTO 4 X 9 (acima de 4m terá emendas)</t>
  </si>
  <si>
    <t>00261 - VIGA CAMBARA 4 X 9 X 3,50</t>
  </si>
  <si>
    <t>00262 - VIGA CAMBARA 4 X 9 X 4,00</t>
  </si>
  <si>
    <t>00263 - VIGA CAMBARA 4 X 9 X 4,50</t>
  </si>
  <si>
    <t>00264 - VIGA CAMBARA 4 X 9 X 5,00</t>
  </si>
  <si>
    <t>00265 - VIGA CAMBARA 4 X 9 X 5,50</t>
  </si>
  <si>
    <t>00266 - VIGA CAMBARA 4 X 9 X 6,00</t>
  </si>
  <si>
    <t>00267 - VIGA CAMBARA 4 X 9 X 6,50</t>
  </si>
  <si>
    <t>00268 - VIGA CAMBARA 4 X 9 X 7,00</t>
  </si>
  <si>
    <t>VIGA CAMBARA 4 X 9 (acima de 7m terá emendas)</t>
  </si>
  <si>
    <t>VIGA PEDRA 4 X 9 (acima de 7m terá emendas)</t>
  </si>
  <si>
    <t>00943 - VIGA PEDRA 4 X 9 X 3,50</t>
  </si>
  <si>
    <t>00944 - VIGA PEDRA 4 X 9 X 4,00</t>
  </si>
  <si>
    <t>00945 - VIGA PEDRA 4 X 9 X 4,50</t>
  </si>
  <si>
    <t>00946 - VIGA PEDRA 4 X 9 X 5,00</t>
  </si>
  <si>
    <t>00947 - VIGA PEDRA 4 X 9 X 5,50</t>
  </si>
  <si>
    <t>00948 - VIGA PEDRA 4 X 9 X 6,00</t>
  </si>
  <si>
    <t>00949 - VIGA PEDRA 4 X 9 X 6,50</t>
  </si>
  <si>
    <t>00950 - VIGA PEDRA 4 X 9 X 7,00</t>
  </si>
  <si>
    <t>4 X 9</t>
  </si>
  <si>
    <t>Réguas de 7:</t>
  </si>
  <si>
    <t>Réguas 4,5</t>
  </si>
  <si>
    <t>00211 - VIGA EUCALIPTO 4 X 9 X 3,00 (eucalipto entorta, oferecer autoclave ou cambará)</t>
  </si>
  <si>
    <t>00275 - TABUA CAMBARA 2 X 4,5</t>
  </si>
  <si>
    <t>00679 - TABUA PEDRA 2 X 4,5</t>
  </si>
  <si>
    <t>00420 - TABUA AUTOCLAVE TIPO ABA 2 X 14 X 3,00</t>
  </si>
  <si>
    <t>01026 - FORRO EUCALIPTO 1 X 8,5 X 3,00</t>
  </si>
  <si>
    <t>01012 - FORRO PINUS 1 X 11,5 X 3,00</t>
  </si>
  <si>
    <t>01023 - FORRO AUTOCLAVE COM NÓ 1 X 11,5 X 3,00</t>
  </si>
  <si>
    <t>01028 - FORRO CAMBARA</t>
  </si>
  <si>
    <t>01015 - FORRO PEDRA</t>
  </si>
  <si>
    <t>metros</t>
  </si>
  <si>
    <t>metros lineares</t>
  </si>
  <si>
    <t>Divisórias:</t>
  </si>
  <si>
    <t>2  X 4,5</t>
  </si>
  <si>
    <t>01011-ASSOALHO PINUS 2 X 14 X 3,00</t>
  </si>
  <si>
    <t>01022 - ASSOALHO AUTOCLAVE COM NÓ 2 X 14 X 3,00</t>
  </si>
  <si>
    <t>01025 - ASSOALHO EUCALIPTO 2 X 8,0 X 3,00</t>
  </si>
  <si>
    <t>00694 - RODAPE PEDRA 5 X 1</t>
  </si>
  <si>
    <t>00695 - RODAPE PEDRA 7 X 1</t>
  </si>
  <si>
    <t>00223 - RODAPE EUCALIPTO 1 X 7</t>
  </si>
  <si>
    <t>00421 - RODAPE AUTOCLAVE 1,5 X 7</t>
  </si>
  <si>
    <t>5cm altura</t>
  </si>
  <si>
    <t>7cm altura</t>
  </si>
  <si>
    <t>Meia cana:</t>
  </si>
  <si>
    <t>01371 - MEIA CANA PINUS 2 X 2 X 3,00</t>
  </si>
  <si>
    <t>01368 - MEIA CANA AUTOCLAVE 2 X 2 X 3,00</t>
  </si>
  <si>
    <t>01369 - MEIA CANA EUCALIPTO 2 X 2 X 3,00</t>
  </si>
  <si>
    <t>01370 - MEIA CANA PEDRA 2 X 2 X 3,00</t>
  </si>
  <si>
    <t>TELHA DE BARRO</t>
  </si>
  <si>
    <t>INCLINAÇÃO 30%</t>
  </si>
  <si>
    <t>BEIRADO 30%</t>
  </si>
  <si>
    <t>COMPRIMENTO DA CASA COM BERADO</t>
  </si>
  <si>
    <t>TELHA DE CERÂMICA</t>
  </si>
  <si>
    <t>TELHA DE FIBROCIMENTO 4 E 5MM</t>
  </si>
  <si>
    <t>TOTAL TELHAS BARRO</t>
  </si>
  <si>
    <t>TOTAL TELHAS CERÂMICA</t>
  </si>
  <si>
    <t>TOTAL TELHAS FIBRO 4 E 5MM</t>
  </si>
  <si>
    <t>TELHA DE FIBROCIMENTO 6MM</t>
  </si>
  <si>
    <t>TOTAL TELHAS FIBRO 6MM</t>
  </si>
  <si>
    <t>Telhas:</t>
  </si>
  <si>
    <t>Cerâmica</t>
  </si>
  <si>
    <t>Cumeeiras:</t>
  </si>
  <si>
    <t>Fibrocimento 4 mm</t>
  </si>
  <si>
    <t>Fibrocimento 5 mm</t>
  </si>
  <si>
    <t>CUMEEIRA</t>
  </si>
  <si>
    <t>00001 - TELHA FIBROCIMENTO 4MM CINZA 0,50 X 2,44</t>
  </si>
  <si>
    <t>00002 - TELHA FIBROCIMENTO 5MM VERMELHA 0,50 X 2,44</t>
  </si>
  <si>
    <t>00003 - TELHA FIBROCIMENTO 6MM CINZA 1,10 X 2,44</t>
  </si>
  <si>
    <t>00145 - TELHA PORTUGUESA NATURAL VERMELHA</t>
  </si>
  <si>
    <t>Cumeeira:</t>
  </si>
  <si>
    <t>00160 - CUMEEIRA NATURAL VERMELHA</t>
  </si>
  <si>
    <t>ARTGRES</t>
  </si>
  <si>
    <t>00004 - CUMEEIRA FIBROCIMENTO 4MM CINZA</t>
  </si>
  <si>
    <t>OFERECER 00160 - CUMEEIRA NATURAL VERMELHA</t>
  </si>
  <si>
    <t>Portuguesa Natural</t>
  </si>
  <si>
    <t>01014 - ASSOALHO PEDRA</t>
  </si>
  <si>
    <t>01016 - FRONTAL PEDRA</t>
  </si>
  <si>
    <t>Madeiras Geral</t>
  </si>
  <si>
    <t>Frontal, assoalho e meia-cana</t>
  </si>
  <si>
    <t>Altura do rodapé</t>
  </si>
  <si>
    <t>Meia-cana / lua:</t>
  </si>
  <si>
    <t>00652 - TABUA PEDRA TIPO ABA 2 X 14 X 1,00</t>
  </si>
  <si>
    <t>00241 - TABUA CAMBARA TIPO ABA 2 X 14 X 1,00</t>
  </si>
  <si>
    <t>Abas</t>
  </si>
  <si>
    <t>00447 - VIGA AUTOCLAVE 4 X 9 X 1,00</t>
  </si>
  <si>
    <t>00211 - VIGA EUCALIPTO 4 X 9 X 3,00 OU 00212 - VIGA EUCALIPTO 4 X 9 X 4,00</t>
  </si>
  <si>
    <t>00419 - TABUA AUTOCLAVE 2 X 4,5 X 3,00 OU 00412 - TABUA AUTOCLAVE 2 X 4,5 X 4,00</t>
  </si>
  <si>
    <t>00418 - TABUA AUTOCLAVE 2 X 7 X 3,00 OU 00411 - TABUA AUTOCLAVE 2 X 7 X 4,00</t>
  </si>
  <si>
    <t>00214 - TABUA EUCALIPTO 2 X 9 X 3,00 OU 00218 - TABUA EUCALIPTO 2 X 9 X 4,00</t>
  </si>
  <si>
    <t>00215 - TABUA EUCALIPTO 2 X 7 X 3,00 OU 00219 - TABUA EUCALIPTO 2 X 7 X 4,00</t>
  </si>
  <si>
    <t>00256 - VIGA CAMBARA 4 X 9 X 1,00</t>
  </si>
  <si>
    <t>00393 - TABUA PINUS 2 X 4,5 X 3,00 OU 00384 - TABUA PINUS 2 X 4,5 X 4,00</t>
  </si>
  <si>
    <t>00392 - TABUA PINUS 2 X 7 X 3,00 OU 00383 - TABUA PINUS 2 X 7 X 4,00</t>
  </si>
  <si>
    <t>00938 - VIGA PEDRA 4 X 9 X 1,00</t>
  </si>
  <si>
    <t>00385 - VIGA PINUS 4 X 9 X 3,00 OU 00386 - VIGA PINUS 4 X 9 X 4,00</t>
  </si>
  <si>
    <t>NOTAS:</t>
  </si>
  <si>
    <t>1.</t>
  </si>
  <si>
    <t>2.</t>
  </si>
  <si>
    <t>Sujeito à disponibilidade dos produtos em estoque (produtos não reservados).</t>
  </si>
  <si>
    <t>Os cálculos acima foram feitos por mera cortesia e podem estar inexatos. Para cálculos precisos, consulte um profissional da área: arquiteto, engenheiro ou marceneiro experiente.</t>
  </si>
  <si>
    <t>©2016 by Carlos "Martini", Todos os direitos reservados. Produzido para Santos Madeiras com dados para cálculo fornecidos por Ivan Zanchet.</t>
  </si>
  <si>
    <t>Linhas das tesouras:</t>
  </si>
  <si>
    <t>2 X 7</t>
  </si>
  <si>
    <t>Caibros 4 x 9 telhado:</t>
  </si>
  <si>
    <t>Caibros 2 x 9 telhado:</t>
  </si>
  <si>
    <t>TABUA PINUS 2 X 9 (acima de 6m terá emendas)</t>
  </si>
  <si>
    <t>TABUA AUTOCLAVE 2 X 9 (acima de 6m terá emendas)</t>
  </si>
  <si>
    <t>Escolher caibros telhado:</t>
  </si>
  <si>
    <t>00231 - TABUA CAMBARA 2 X 9 X 3,00</t>
  </si>
  <si>
    <t>00232 - TABUA CAMBARA 2 X 9 X 3,50</t>
  </si>
  <si>
    <t>00233 - TABUA CAMBARA 2 X 9 X 4,00</t>
  </si>
  <si>
    <t>00234 - TABUA CAMBARA 2 X 9 X 4,50</t>
  </si>
  <si>
    <t>00235 - TABUA CAMBARA 2 X 9 X 5,00</t>
  </si>
  <si>
    <t>00236 - TABUA CAMBARA 2 X 9 X 5,50</t>
  </si>
  <si>
    <t>00237 - TABUA CAMBARA 2 X 9 X 6,00</t>
  </si>
  <si>
    <t>00238 - TABUA CAMBARA 2 X 9 X 6,50</t>
  </si>
  <si>
    <t>00239 - TABUA CAMBARA 2 X 9 X 7,00</t>
  </si>
  <si>
    <t>00642 - TABUA PEDRA 2 X 9 X 3,00</t>
  </si>
  <si>
    <t>00643 - TABUA PEDRA 2 X 9 X 3,50</t>
  </si>
  <si>
    <t>00644 - TABUA PEDRA 2 X 9 X 4,00</t>
  </si>
  <si>
    <t>00645 - TABUA PEDRA 2 X 9 X 4,50</t>
  </si>
  <si>
    <t>00646 - TABUA PEDRA 2 X 9 X 5,00</t>
  </si>
  <si>
    <t>00647 - TABUA PEDRA 2 X 9 X 5,50</t>
  </si>
  <si>
    <t>00648 - TABUA PEDRA 2 X 9 X 6,00</t>
  </si>
  <si>
    <t>00649 - TABUA PEDRA 2 X 9 X 6,50</t>
  </si>
  <si>
    <t>00650 - TABUA PEDRA 2 X 9 X 7,00</t>
  </si>
  <si>
    <t>00274 - TABUA CAMBARA 2 X 6</t>
  </si>
  <si>
    <t>00680 - TABUA PEDRA 2 X 6</t>
  </si>
  <si>
    <t>00216 - TABUA EUCALIPTO 2 X 4,5 X 3,00 OU 00220 - TABUA EUCALIPTO 2 X 4,5 X 4,00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</si>
</sst>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0.00\ &quot;m²&quot;"/>
    <numFmt numFmtId="165" formatCode="0\ &quot;un&quot;"/>
    <numFmt numFmtId="166" formatCode="0\ &quot;m²&quot;"/>
    <numFmt numFmtId="167" formatCode="0\ &quot;ML&quot;"/>
    <numFmt numFmtId="168" formatCode="&quot;Telhado (&quot;@&quot;)&quot;"/>
    <numFmt numFmtId="169" formatCode="&quot;x &quot;0.0&quot;m&quot;"/>
    <numFmt numFmtId="170" formatCode="&quot;x &quot;0.00"/>
    <numFmt numFmtId="171" formatCode="@&quot;m&quot;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39994506668294322"/>
        <bgColor indexed="64"/>
      </patternFill>
    </fill>
    <fill>
      <patternFill patternType="solid">
        <fgColor theme="1"/>
        <bgColor indexed="64"/>
      </patternFill>
    </fill>
  </fills>
  <borders count="13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0" fillId="4" borderId="1" xfId="0" applyFill="1" applyBorder="1"/>
    <xf numFmtId="0" fontId="0" fillId="5" borderId="1" xfId="0" applyFill="1" applyBorder="1"/>
    <xf numFmtId="0" fontId="3" fillId="5" borderId="1" xfId="0" applyFont="1" applyFill="1" applyBorder="1"/>
    <xf numFmtId="0" fontId="1" fillId="5" borderId="1" xfId="0" applyFont="1" applyFill="1" applyBorder="1" applyAlignment="1">
      <alignment horizontal="left"/>
    </xf>
    <xf numFmtId="0" fontId="1" fillId="5" borderId="1" xfId="0" applyFont="1" applyFill="1" applyBorder="1"/>
    <xf numFmtId="0" fontId="4" fillId="5" borderId="1" xfId="0" applyFont="1" applyFill="1" applyBorder="1"/>
    <xf numFmtId="0" fontId="1" fillId="5" borderId="1" xfId="0" applyFont="1" applyFill="1" applyBorder="1" applyAlignment="1">
      <alignment horizontal="center"/>
    </xf>
    <xf numFmtId="0" fontId="1" fillId="5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5" fillId="5" borderId="1" xfId="0" applyFont="1" applyFill="1" applyBorder="1"/>
    <xf numFmtId="0" fontId="0" fillId="0" borderId="0" xfId="0" applyAlignment="1">
      <alignment vertical="center"/>
    </xf>
    <xf numFmtId="0" fontId="0" fillId="0" borderId="0" xfId="0" applyAlignment="1"/>
    <xf numFmtId="0" fontId="0" fillId="0" borderId="0" xfId="0" applyAlignment="1">
      <alignment wrapText="1"/>
    </xf>
    <xf numFmtId="0" fontId="0" fillId="0" borderId="0" xfId="0" applyProtection="1"/>
    <xf numFmtId="0" fontId="0" fillId="0" borderId="0" xfId="0" applyBorder="1" applyAlignment="1" applyProtection="1">
      <alignment horizontal="right" vertical="center"/>
    </xf>
    <xf numFmtId="0" fontId="0" fillId="0" borderId="0" xfId="0" applyBorder="1" applyProtection="1"/>
    <xf numFmtId="0" fontId="11" fillId="0" borderId="0" xfId="0" applyFont="1" applyAlignment="1" applyProtection="1">
      <alignment vertical="center" wrapText="1"/>
    </xf>
    <xf numFmtId="0" fontId="9" fillId="0" borderId="0" xfId="0" applyFont="1" applyProtection="1"/>
    <xf numFmtId="0" fontId="8" fillId="5" borderId="1" xfId="0" applyFont="1" applyFill="1" applyBorder="1"/>
    <xf numFmtId="0" fontId="10" fillId="0" borderId="0" xfId="0" applyFont="1" applyAlignment="1" applyProtection="1">
      <alignment vertical="center"/>
    </xf>
    <xf numFmtId="0" fontId="0" fillId="0" borderId="0" xfId="0" applyAlignment="1" applyProtection="1">
      <alignment horizontal="right" vertical="center"/>
    </xf>
    <xf numFmtId="0" fontId="0" fillId="0" borderId="0" xfId="0" applyAlignment="1" applyProtection="1">
      <alignment vertical="center"/>
    </xf>
    <xf numFmtId="0" fontId="0" fillId="0" borderId="0" xfId="0" applyAlignment="1" applyProtection="1">
      <alignment horizontal="right" vertical="center"/>
    </xf>
    <xf numFmtId="0" fontId="0" fillId="0" borderId="0" xfId="0" applyAlignment="1" applyProtection="1">
      <alignment horizontal="right"/>
    </xf>
    <xf numFmtId="0" fontId="0" fillId="0" borderId="0" xfId="0" applyFont="1" applyProtection="1"/>
    <xf numFmtId="0" fontId="8" fillId="7" borderId="0" xfId="0" applyFont="1" applyFill="1" applyAlignment="1">
      <alignment horizontal="center" vertical="center"/>
    </xf>
    <xf numFmtId="0" fontId="0" fillId="0" borderId="0" xfId="0" applyFont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 applyProtection="1">
      <alignment horizontal="center" vertical="center"/>
    </xf>
    <xf numFmtId="0" fontId="0" fillId="0" borderId="8" xfId="0" applyBorder="1" applyAlignment="1" applyProtection="1">
      <alignment horizontal="center"/>
      <protection locked="0"/>
    </xf>
    <xf numFmtId="0" fontId="0" fillId="0" borderId="0" xfId="0" applyBorder="1" applyAlignment="1" applyProtection="1">
      <alignment horizontal="center"/>
    </xf>
    <xf numFmtId="0" fontId="0" fillId="0" borderId="0" xfId="0" applyAlignment="1" applyProtection="1">
      <alignment horizontal="center"/>
    </xf>
    <xf numFmtId="0" fontId="8" fillId="7" borderId="0" xfId="0" applyFont="1" applyFill="1" applyAlignment="1">
      <alignment horizontal="right"/>
    </xf>
    <xf numFmtId="9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8" fillId="7" borderId="0" xfId="0" applyFont="1" applyFill="1" applyAlignment="1">
      <alignment horizontal="center" vertical="center"/>
    </xf>
    <xf numFmtId="2" fontId="1" fillId="5" borderId="1" xfId="0" applyNumberFormat="1" applyFont="1" applyFill="1" applyBorder="1" applyAlignment="1">
      <alignment horizontal="center"/>
    </xf>
    <xf numFmtId="0" fontId="0" fillId="0" borderId="0" xfId="0" applyFont="1" applyAlignment="1" applyProtection="1">
      <alignment vertical="center"/>
    </xf>
    <xf numFmtId="166" fontId="0" fillId="0" borderId="0" xfId="0" applyNumberFormat="1" applyBorder="1" applyProtection="1"/>
    <xf numFmtId="164" fontId="0" fillId="0" borderId="0" xfId="0" applyNumberFormat="1" applyBorder="1" applyProtection="1"/>
    <xf numFmtId="165" fontId="0" fillId="0" borderId="0" xfId="0" applyNumberFormat="1" applyProtection="1"/>
    <xf numFmtId="167" fontId="0" fillId="0" borderId="0" xfId="0" applyNumberFormat="1" applyBorder="1" applyProtection="1"/>
    <xf numFmtId="165" fontId="0" fillId="0" borderId="0" xfId="0" applyNumberFormat="1" applyBorder="1" applyProtection="1"/>
    <xf numFmtId="167" fontId="0" fillId="0" borderId="0" xfId="0" applyNumberFormat="1" applyBorder="1" applyAlignment="1" applyProtection="1">
      <alignment horizontal="right"/>
    </xf>
    <xf numFmtId="0" fontId="0" fillId="0" borderId="0" xfId="0" applyAlignment="1" applyProtection="1">
      <alignment horizontal="left"/>
    </xf>
    <xf numFmtId="170" fontId="0" fillId="0" borderId="0" xfId="0" applyNumberFormat="1" applyProtection="1"/>
    <xf numFmtId="169" fontId="0" fillId="0" borderId="0" xfId="0" applyNumberFormat="1" applyProtection="1"/>
    <xf numFmtId="166" fontId="0" fillId="0" borderId="0" xfId="0" applyNumberFormat="1" applyBorder="1" applyAlignment="1" applyProtection="1">
      <alignment horizontal="right"/>
    </xf>
    <xf numFmtId="0" fontId="0" fillId="0" borderId="0" xfId="0" applyNumberFormat="1" applyProtection="1"/>
    <xf numFmtId="0" fontId="4" fillId="5" borderId="1" xfId="0" applyFont="1" applyFill="1" applyBorder="1" applyAlignment="1">
      <alignment horizontal="left"/>
    </xf>
    <xf numFmtId="0" fontId="0" fillId="0" borderId="0" xfId="0" applyFill="1"/>
    <xf numFmtId="0" fontId="0" fillId="0" borderId="0" xfId="0" applyFont="1" applyFill="1"/>
    <xf numFmtId="0" fontId="8" fillId="7" borderId="0" xfId="0" applyFont="1" applyFill="1" applyAlignment="1">
      <alignment horizontal="center" vertical="center" wrapText="1"/>
    </xf>
    <xf numFmtId="0" fontId="0" fillId="0" borderId="0" xfId="0" applyAlignment="1" applyProtection="1">
      <alignment horizontal="right" vertical="top"/>
    </xf>
    <xf numFmtId="0" fontId="12" fillId="0" borderId="0" xfId="0" applyFont="1" applyAlignment="1" applyProtection="1">
      <alignment horizontal="right"/>
    </xf>
    <xf numFmtId="167" fontId="0" fillId="0" borderId="0" xfId="0" applyNumberFormat="1" applyFill="1" applyBorder="1" applyProtection="1"/>
    <xf numFmtId="167" fontId="0" fillId="0" borderId="0" xfId="0" applyNumberFormat="1" applyProtection="1"/>
    <xf numFmtId="0" fontId="0" fillId="0" borderId="0" xfId="0" applyFill="1" applyAlignment="1" applyProtection="1">
      <alignment horizontal="right"/>
    </xf>
    <xf numFmtId="171" fontId="0" fillId="0" borderId="0" xfId="0" applyNumberFormat="1" applyAlignment="1" applyProtection="1">
      <alignment horizontal="left"/>
    </xf>
    <xf numFmtId="0" fontId="0" fillId="0" borderId="0" xfId="0" applyFill="1" applyProtection="1"/>
    <xf numFmtId="0" fontId="0" fillId="0" borderId="0" xfId="0" applyAlignment="1" applyProtection="1">
      <alignment horizontal="right" vertical="center"/>
    </xf>
    <xf numFmtId="0" fontId="10" fillId="0" borderId="0" xfId="0" applyFont="1" applyAlignment="1" applyProtection="1">
      <alignment horizontal="center" vertical="center"/>
    </xf>
    <xf numFmtId="168" fontId="10" fillId="0" borderId="0" xfId="0" applyNumberFormat="1" applyFont="1" applyAlignment="1" applyProtection="1">
      <alignment horizontal="center" vertical="center"/>
    </xf>
    <xf numFmtId="0" fontId="0" fillId="0" borderId="0" xfId="0" applyAlignment="1" applyProtection="1">
      <alignment horizontal="right" vertical="center"/>
    </xf>
    <xf numFmtId="0" fontId="10" fillId="0" borderId="0" xfId="0" applyFont="1" applyAlignment="1" applyProtection="1">
      <alignment horizontal="center" vertical="center"/>
    </xf>
    <xf numFmtId="0" fontId="11" fillId="0" borderId="9" xfId="0" applyFont="1" applyBorder="1" applyAlignment="1" applyProtection="1">
      <alignment horizontal="center" vertical="center" wrapText="1"/>
    </xf>
    <xf numFmtId="0" fontId="11" fillId="0" borderId="12" xfId="0" applyFont="1" applyBorder="1" applyAlignment="1" applyProtection="1">
      <alignment horizontal="center" vertical="center" wrapText="1"/>
    </xf>
    <xf numFmtId="0" fontId="11" fillId="0" borderId="10" xfId="0" applyFont="1" applyBorder="1" applyAlignment="1" applyProtection="1">
      <alignment horizontal="center" vertical="center" wrapText="1"/>
    </xf>
    <xf numFmtId="0" fontId="0" fillId="0" borderId="11" xfId="0" applyBorder="1" applyAlignment="1" applyProtection="1">
      <alignment horizontal="right" vertical="center"/>
    </xf>
    <xf numFmtId="0" fontId="0" fillId="0" borderId="9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0" xfId="0" applyFont="1" applyAlignment="1" applyProtection="1">
      <alignment horizontal="left" vertical="center"/>
    </xf>
    <xf numFmtId="168" fontId="10" fillId="0" borderId="0" xfId="0" applyNumberFormat="1" applyFont="1" applyAlignment="1" applyProtection="1">
      <alignment horizontal="center" vertical="center"/>
    </xf>
    <xf numFmtId="0" fontId="0" fillId="0" borderId="0" xfId="0" applyAlignment="1" applyProtection="1">
      <alignment horizontal="left" vertical="top" wrapText="1"/>
    </xf>
    <xf numFmtId="0" fontId="0" fillId="0" borderId="0" xfId="0" applyAlignment="1" applyProtection="1">
      <alignment horizontal="center" vertical="center" wrapText="1"/>
    </xf>
    <xf numFmtId="0" fontId="11" fillId="0" borderId="0" xfId="0" applyFont="1" applyAlignment="1" applyProtection="1">
      <alignment horizontal="center" vertical="center" wrapText="1"/>
    </xf>
    <xf numFmtId="0" fontId="0" fillId="0" borderId="0" xfId="0" applyFill="1" applyAlignment="1" applyProtection="1">
      <alignment horizontal="left"/>
    </xf>
    <xf numFmtId="0" fontId="8" fillId="7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Drop" dropStyle="combo" dx="16" fmlaLink="Dados!$J$4" fmlaRange="Dados!$A$4:$A$8" noThreeD="1" sel="3" val="0"/>
</file>

<file path=xl/ctrlProps/ctrlProp2.xml><?xml version="1.0" encoding="utf-8"?>
<formControlPr xmlns="http://schemas.microsoft.com/office/spreadsheetml/2009/9/main" objectType="Drop" dropStyle="combo" dx="16" fmlaLink="Engine!$H$6" fmlaRange="#REF!" noThreeD="1" sel="0" val="0"/>
</file>

<file path=xl/ctrlProps/ctrlProp3.xml><?xml version="1.0" encoding="utf-8"?>
<formControlPr xmlns="http://schemas.microsoft.com/office/spreadsheetml/2009/9/main" objectType="Drop" dropStyle="combo" dx="16" fmlaLink="Dados!$J$5" fmlaRange="Dados!$B$4:$B$5" noThreeD="1" val="0"/>
</file>

<file path=xl/ctrlProps/ctrlProp4.xml><?xml version="1.0" encoding="utf-8"?>
<formControlPr xmlns="http://schemas.microsoft.com/office/spreadsheetml/2009/9/main" objectType="Drop" dropStyle="combo" dx="16" fmlaLink="Dados!$J$6" fmlaRange="Dados!$C$4:$C$5" noThreeD="1" sel="2" val="0"/>
</file>

<file path=xl/ctrlProps/ctrlProp5.xml><?xml version="1.0" encoding="utf-8"?>
<formControlPr xmlns="http://schemas.microsoft.com/office/spreadsheetml/2009/9/main" objectType="Drop" dropStyle="combo" dx="16" fmlaLink="Dados!$J$15" fmlaRange="Dados!$G$4:$G$8" noThreeD="1" sel="2" val="0"/>
</file>

<file path=xl/ctrlProps/ctrlProp6.xml><?xml version="1.0" encoding="utf-8"?>
<formControlPr xmlns="http://schemas.microsoft.com/office/spreadsheetml/2009/9/main" objectType="Drop" dropStyle="combo" dx="16" fmlaLink="Dados!$J$9" fmlaRange="Dados!$D$4:$D$7" noThreeD="1" sel="2" val="0"/>
</file>

<file path=xl/ctrlProps/ctrlProp7.xml><?xml version="1.0" encoding="utf-8"?>
<formControlPr xmlns="http://schemas.microsoft.com/office/spreadsheetml/2009/9/main" objectType="Drop" dropStyle="combo" dx="16" fmlaLink="Dados!$J$16" fmlaRange="Dados!$G$4:$G$8" noThreeD="1" sel="2" val="0"/>
</file>

<file path=xl/ctrlProps/ctrlProp8.xml><?xml version="1.0" encoding="utf-8"?>
<formControlPr xmlns="http://schemas.microsoft.com/office/spreadsheetml/2009/9/main" objectType="Drop" dropStyle="combo" dx="16" fmlaLink="Dados!$J$8" fmlaRange="Dados!$G$4:$G$8" noThreeD="1" sel="2" val="0"/>
</file>

<file path=xl/ctrlProps/ctrlProp9.xml><?xml version="1.0" encoding="utf-8"?>
<formControlPr xmlns="http://schemas.microsoft.com/office/spreadsheetml/2009/9/main" objectType="Drop" dropStyle="combo" dx="16" fmlaLink="Dados!$J$14" fmlaRange="Dados!$G$4:$G$8" noThreeD="1" sel="2" val="0"/>
</file>

<file path=xl/ctrlProps/ctrlProp10.xml><?xml version="1.0" encoding="utf-8"?>
<formControlPr xmlns="http://schemas.microsoft.com/office/spreadsheetml/2009/9/main" objectType="Drop" dropStyle="combo" dx="16" fmlaLink="Dados!$J$7" fmlaRange="Dados!$D$4:$D$7" noThreeD="1" sel="2" val="0"/>
</file>

<file path=xl/ctrlProps/ctrlProp11.xml><?xml version="1.0" encoding="utf-8"?>
<formControlPr xmlns="http://schemas.microsoft.com/office/spreadsheetml/2009/9/main" objectType="Drop" dropStyle="combo" dx="16" fmlaLink="Dados!$J$13" fmlaRange="Dados!$G$4:$G$8" noThreeD="1" sel="2" val="0"/>
</file>

<file path=xl/ctrlProps/ctrlProp12.xml><?xml version="1.0" encoding="utf-8"?>
<formControlPr xmlns="http://schemas.microsoft.com/office/spreadsheetml/2009/9/main" objectType="Drop" dropStyle="combo" dx="16" fmlaLink="Dados!$J$11" fmlaRange="Dados!$D$4:$D$7" noThreeD="1" sel="2" val="0"/>
</file>

<file path=xl/ctrlProps/ctrlProp13.xml><?xml version="1.0" encoding="utf-8"?>
<formControlPr xmlns="http://schemas.microsoft.com/office/spreadsheetml/2009/9/main" objectType="Drop" dropStyle="combo" dx="16" fmlaLink="Dados!$J$16" fmlaRange="Dados!$G$4:$G$8" noThreeD="1" sel="2" val="0"/>
</file>

<file path=xl/ctrlProps/ctrlProp14.xml><?xml version="1.0" encoding="utf-8"?>
<formControlPr xmlns="http://schemas.microsoft.com/office/spreadsheetml/2009/9/main" objectType="Drop" dropStyle="combo" dx="16" fmlaLink="Dados!$J$10" fmlaRange="Dados!$E$4:$E$6" noThreeD="1" val="0"/>
</file>

<file path=xl/ctrlProps/ctrlProp15.xml><?xml version="1.0" encoding="utf-8"?>
<formControlPr xmlns="http://schemas.microsoft.com/office/spreadsheetml/2009/9/main" objectType="Drop" dropStyle="combo" dx="16" fmlaLink="Dados!$J$11" fmlaRange="Dados!$D$4:$D$7" noThreeD="1" sel="2" val="0"/>
</file>

<file path=xl/ctrlProps/ctrlProp16.xml><?xml version="1.0" encoding="utf-8"?>
<formControlPr xmlns="http://schemas.microsoft.com/office/spreadsheetml/2009/9/main" objectType="Drop" dropStyle="combo" dx="16" fmlaLink="Dados!$J$12" fmlaRange="Dados!$F$4:$F$6" noThreeD="1" val="0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9</xdr:row>
          <xdr:rowOff>0</xdr:rowOff>
        </xdr:from>
        <xdr:to>
          <xdr:col>10</xdr:col>
          <xdr:colOff>685800</xdr:colOff>
          <xdr:row>10</xdr:row>
          <xdr:rowOff>9525</xdr:rowOff>
        </xdr:to>
        <xdr:sp macro="" textlink="">
          <xdr:nvSpPr>
            <xdr:cNvPr id="2055" name="Drop Down 7" hidden="1">
              <a:extLst>
                <a:ext uri="{63B3BB69-23CF-44E3-9099-C40C66FF867C}">
                  <a14:compatExt spid="_x0000_s2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10</xdr:col>
          <xdr:colOff>685800</xdr:colOff>
          <xdr:row>12</xdr:row>
          <xdr:rowOff>9525</xdr:rowOff>
        </xdr:to>
        <xdr:sp macro="" textlink="">
          <xdr:nvSpPr>
            <xdr:cNvPr id="2057" name="Drop Down 9" hidden="1">
              <a:extLst>
                <a:ext uri="{63B3BB69-23CF-44E3-9099-C40C66FF867C}">
                  <a14:compatExt spid="_x0000_s2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10</xdr:col>
          <xdr:colOff>685800</xdr:colOff>
          <xdr:row>12</xdr:row>
          <xdr:rowOff>9525</xdr:rowOff>
        </xdr:to>
        <xdr:sp macro="" textlink="">
          <xdr:nvSpPr>
            <xdr:cNvPr id="2058" name="Drop Down 10" hidden="1">
              <a:extLst>
                <a:ext uri="{63B3BB69-23CF-44E3-9099-C40C66FF867C}">
                  <a14:compatExt spid="_x0000_s2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13</xdr:row>
          <xdr:rowOff>0</xdr:rowOff>
        </xdr:from>
        <xdr:to>
          <xdr:col>10</xdr:col>
          <xdr:colOff>685800</xdr:colOff>
          <xdr:row>14</xdr:row>
          <xdr:rowOff>9525</xdr:rowOff>
        </xdr:to>
        <xdr:sp macro="" textlink="">
          <xdr:nvSpPr>
            <xdr:cNvPr id="2059" name="Drop Down 11" hidden="1">
              <a:extLst>
                <a:ext uri="{63B3BB69-23CF-44E3-9099-C40C66FF867C}">
                  <a14:compatExt spid="_x0000_s2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23</xdr:row>
          <xdr:rowOff>0</xdr:rowOff>
        </xdr:from>
        <xdr:to>
          <xdr:col>10</xdr:col>
          <xdr:colOff>685800</xdr:colOff>
          <xdr:row>24</xdr:row>
          <xdr:rowOff>9525</xdr:rowOff>
        </xdr:to>
        <xdr:sp macro="" textlink="">
          <xdr:nvSpPr>
            <xdr:cNvPr id="2066" name="Drop Down 18" hidden="1">
              <a:extLst>
                <a:ext uri="{63B3BB69-23CF-44E3-9099-C40C66FF867C}">
                  <a14:compatExt spid="_x0000_s20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21</xdr:row>
          <xdr:rowOff>0</xdr:rowOff>
        </xdr:from>
        <xdr:to>
          <xdr:col>4</xdr:col>
          <xdr:colOff>1028700</xdr:colOff>
          <xdr:row>22</xdr:row>
          <xdr:rowOff>9525</xdr:rowOff>
        </xdr:to>
        <xdr:sp macro="" textlink="">
          <xdr:nvSpPr>
            <xdr:cNvPr id="2067" name="Drop Down 19" hidden="1">
              <a:extLst>
                <a:ext uri="{63B3BB69-23CF-44E3-9099-C40C66FF867C}">
                  <a14:compatExt spid="_x0000_s20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25</xdr:row>
          <xdr:rowOff>0</xdr:rowOff>
        </xdr:from>
        <xdr:to>
          <xdr:col>10</xdr:col>
          <xdr:colOff>685800</xdr:colOff>
          <xdr:row>26</xdr:row>
          <xdr:rowOff>9525</xdr:rowOff>
        </xdr:to>
        <xdr:sp macro="" textlink="">
          <xdr:nvSpPr>
            <xdr:cNvPr id="2068" name="Drop Down 20" hidden="1">
              <a:extLst>
                <a:ext uri="{63B3BB69-23CF-44E3-9099-C40C66FF867C}">
                  <a14:compatExt spid="_x0000_s20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19</xdr:row>
          <xdr:rowOff>0</xdr:rowOff>
        </xdr:from>
        <xdr:to>
          <xdr:col>4</xdr:col>
          <xdr:colOff>1028700</xdr:colOff>
          <xdr:row>20</xdr:row>
          <xdr:rowOff>9525</xdr:rowOff>
        </xdr:to>
        <xdr:sp macro="" textlink="">
          <xdr:nvSpPr>
            <xdr:cNvPr id="2075" name="Drop Down 27" hidden="1">
              <a:extLst>
                <a:ext uri="{63B3BB69-23CF-44E3-9099-C40C66FF867C}">
                  <a14:compatExt spid="_x0000_s20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21</xdr:row>
          <xdr:rowOff>0</xdr:rowOff>
        </xdr:from>
        <xdr:to>
          <xdr:col>10</xdr:col>
          <xdr:colOff>685800</xdr:colOff>
          <xdr:row>22</xdr:row>
          <xdr:rowOff>9525</xdr:rowOff>
        </xdr:to>
        <xdr:sp macro="" textlink="">
          <xdr:nvSpPr>
            <xdr:cNvPr id="2076" name="Drop Down 28" hidden="1">
              <a:extLst>
                <a:ext uri="{63B3BB69-23CF-44E3-9099-C40C66FF867C}">
                  <a14:compatExt spid="_x0000_s2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17</xdr:row>
          <xdr:rowOff>0</xdr:rowOff>
        </xdr:from>
        <xdr:to>
          <xdr:col>4</xdr:col>
          <xdr:colOff>1028700</xdr:colOff>
          <xdr:row>18</xdr:row>
          <xdr:rowOff>9525</xdr:rowOff>
        </xdr:to>
        <xdr:sp macro="" textlink="">
          <xdr:nvSpPr>
            <xdr:cNvPr id="2077" name="Drop Down 29" hidden="1">
              <a:extLst>
                <a:ext uri="{63B3BB69-23CF-44E3-9099-C40C66FF867C}">
                  <a14:compatExt spid="_x0000_s2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19</xdr:row>
          <xdr:rowOff>0</xdr:rowOff>
        </xdr:from>
        <xdr:to>
          <xdr:col>10</xdr:col>
          <xdr:colOff>685800</xdr:colOff>
          <xdr:row>20</xdr:row>
          <xdr:rowOff>9525</xdr:rowOff>
        </xdr:to>
        <xdr:sp macro="" textlink="">
          <xdr:nvSpPr>
            <xdr:cNvPr id="2078" name="Drop Down 30" hidden="1">
              <a:extLst>
                <a:ext uri="{63B3BB69-23CF-44E3-9099-C40C66FF867C}">
                  <a14:compatExt spid="_x0000_s20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</xdr:col>
      <xdr:colOff>1</xdr:colOff>
      <xdr:row>2</xdr:row>
      <xdr:rowOff>209550</xdr:rowOff>
    </xdr:from>
    <xdr:to>
      <xdr:col>5</xdr:col>
      <xdr:colOff>19050</xdr:colOff>
      <xdr:row>14</xdr:row>
      <xdr:rowOff>114300</xdr:rowOff>
    </xdr:to>
    <xdr:sp macro="" textlink="">
      <xdr:nvSpPr>
        <xdr:cNvPr id="2" name="Retângulo 1"/>
        <xdr:cNvSpPr/>
      </xdr:nvSpPr>
      <xdr:spPr>
        <a:xfrm>
          <a:off x="390526" y="1095375"/>
          <a:ext cx="3133724" cy="1981200"/>
        </a:xfrm>
        <a:prstGeom prst="rect">
          <a:avLst/>
        </a:prstGeom>
        <a:noFill/>
        <a:ln w="635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6</xdr:col>
      <xdr:colOff>28576</xdr:colOff>
      <xdr:row>2</xdr:row>
      <xdr:rowOff>209549</xdr:rowOff>
    </xdr:from>
    <xdr:to>
      <xdr:col>11</xdr:col>
      <xdr:colOff>1</xdr:colOff>
      <xdr:row>14</xdr:row>
      <xdr:rowOff>114300</xdr:rowOff>
    </xdr:to>
    <xdr:sp macro="" textlink="">
      <xdr:nvSpPr>
        <xdr:cNvPr id="15" name="Retângulo 14"/>
        <xdr:cNvSpPr/>
      </xdr:nvSpPr>
      <xdr:spPr>
        <a:xfrm>
          <a:off x="3733801" y="1095374"/>
          <a:ext cx="3143250" cy="1981201"/>
        </a:xfrm>
        <a:prstGeom prst="rect">
          <a:avLst/>
        </a:prstGeom>
        <a:noFill/>
        <a:ln w="635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1</xdr:colOff>
      <xdr:row>14</xdr:row>
      <xdr:rowOff>380999</xdr:rowOff>
    </xdr:from>
    <xdr:to>
      <xdr:col>11</xdr:col>
      <xdr:colOff>2</xdr:colOff>
      <xdr:row>26</xdr:row>
      <xdr:rowOff>152400</xdr:rowOff>
    </xdr:to>
    <xdr:sp macro="" textlink="">
      <xdr:nvSpPr>
        <xdr:cNvPr id="16" name="Retângulo 15"/>
        <xdr:cNvSpPr/>
      </xdr:nvSpPr>
      <xdr:spPr>
        <a:xfrm>
          <a:off x="390526" y="3343274"/>
          <a:ext cx="5991226" cy="2057401"/>
        </a:xfrm>
        <a:prstGeom prst="rect">
          <a:avLst/>
        </a:prstGeom>
        <a:noFill/>
        <a:ln w="635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23</xdr:row>
          <xdr:rowOff>0</xdr:rowOff>
        </xdr:from>
        <xdr:to>
          <xdr:col>4</xdr:col>
          <xdr:colOff>1028700</xdr:colOff>
          <xdr:row>24</xdr:row>
          <xdr:rowOff>9525</xdr:rowOff>
        </xdr:to>
        <xdr:sp macro="" textlink="">
          <xdr:nvSpPr>
            <xdr:cNvPr id="2079" name="Drop Down 31" hidden="1">
              <a:extLst>
                <a:ext uri="{63B3BB69-23CF-44E3-9099-C40C66FF867C}">
                  <a14:compatExt spid="_x0000_s20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25</xdr:row>
          <xdr:rowOff>0</xdr:rowOff>
        </xdr:from>
        <xdr:to>
          <xdr:col>10</xdr:col>
          <xdr:colOff>685800</xdr:colOff>
          <xdr:row>26</xdr:row>
          <xdr:rowOff>9525</xdr:rowOff>
        </xdr:to>
        <xdr:sp macro="" textlink="">
          <xdr:nvSpPr>
            <xdr:cNvPr id="2080" name="Drop Down 32" hidden="1">
              <a:extLst>
                <a:ext uri="{63B3BB69-23CF-44E3-9099-C40C66FF867C}">
                  <a14:compatExt spid="_x0000_s20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23</xdr:row>
          <xdr:rowOff>0</xdr:rowOff>
        </xdr:from>
        <xdr:to>
          <xdr:col>4</xdr:col>
          <xdr:colOff>1028700</xdr:colOff>
          <xdr:row>24</xdr:row>
          <xdr:rowOff>9525</xdr:rowOff>
        </xdr:to>
        <xdr:sp macro="" textlink="">
          <xdr:nvSpPr>
            <xdr:cNvPr id="2081" name="Drop Down 33" hidden="1">
              <a:extLst>
                <a:ext uri="{63B3BB69-23CF-44E3-9099-C40C66FF867C}">
                  <a14:compatExt spid="_x0000_s20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25</xdr:row>
          <xdr:rowOff>0</xdr:rowOff>
        </xdr:from>
        <xdr:to>
          <xdr:col>4</xdr:col>
          <xdr:colOff>1028700</xdr:colOff>
          <xdr:row>26</xdr:row>
          <xdr:rowOff>9525</xdr:rowOff>
        </xdr:to>
        <xdr:sp macro="" textlink="">
          <xdr:nvSpPr>
            <xdr:cNvPr id="2083" name="Drop Down 35" hidden="1">
              <a:extLst>
                <a:ext uri="{63B3BB69-23CF-44E3-9099-C40C66FF867C}">
                  <a14:compatExt spid="_x0000_s20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17</xdr:row>
          <xdr:rowOff>0</xdr:rowOff>
        </xdr:from>
        <xdr:to>
          <xdr:col>10</xdr:col>
          <xdr:colOff>685800</xdr:colOff>
          <xdr:row>18</xdr:row>
          <xdr:rowOff>9525</xdr:rowOff>
        </xdr:to>
        <xdr:sp macro="" textlink="">
          <xdr:nvSpPr>
            <xdr:cNvPr id="2084" name="Drop Down 36" hidden="1">
              <a:extLst>
                <a:ext uri="{63B3BB69-23CF-44E3-9099-C40C66FF867C}">
                  <a14:compatExt spid="_x0000_s20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666750</xdr:colOff>
      <xdr:row>13</xdr:row>
      <xdr:rowOff>9525</xdr:rowOff>
    </xdr:from>
    <xdr:to>
      <xdr:col>6</xdr:col>
      <xdr:colOff>85725</xdr:colOff>
      <xdr:row>20</xdr:row>
      <xdr:rowOff>0</xdr:rowOff>
    </xdr:to>
    <xdr:sp macro="" textlink="">
      <xdr:nvSpPr>
        <xdr:cNvPr id="2" name="Chave direita 1"/>
        <xdr:cNvSpPr/>
      </xdr:nvSpPr>
      <xdr:spPr>
        <a:xfrm>
          <a:off x="3733800" y="3143250"/>
          <a:ext cx="142875" cy="71437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714374</xdr:colOff>
      <xdr:row>60</xdr:row>
      <xdr:rowOff>9525</xdr:rowOff>
    </xdr:from>
    <xdr:to>
      <xdr:col>11</xdr:col>
      <xdr:colOff>133349</xdr:colOff>
      <xdr:row>60</xdr:row>
      <xdr:rowOff>485775</xdr:rowOff>
    </xdr:to>
    <xdr:sp macro="" textlink="">
      <xdr:nvSpPr>
        <xdr:cNvPr id="3" name="Retângulo 2"/>
        <xdr:cNvSpPr/>
      </xdr:nvSpPr>
      <xdr:spPr>
        <a:xfrm>
          <a:off x="1104899" y="11134725"/>
          <a:ext cx="6124575" cy="476250"/>
        </a:xfrm>
        <a:prstGeom prst="rect">
          <a:avLst/>
        </a:prstGeom>
        <a:noFill/>
        <a:ln w="635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Plan1"/>
  <dimension ref="B2:M35"/>
  <sheetViews>
    <sheetView showGridLines="0" tabSelected="1" zoomScaleNormal="100" workbookViewId="0">
      <selection activeCell="D6" sqref="D6"/>
    </sheetView>
  </sheetViews>
  <sheetFormatPr defaultRowHeight="15" x14ac:dyDescent="0.25"/>
  <cols>
    <col min="1" max="1" width="5.85546875" style="14" customWidth="1"/>
    <col min="2" max="2" width="11.7109375" style="14" customWidth="1"/>
    <col min="3" max="3" width="4.28515625" style="14" customWidth="1"/>
    <col min="4" max="4" width="7.28515625" style="14" customWidth="1"/>
    <col min="5" max="5" width="16" style="14" customWidth="1"/>
    <col min="6" max="6" width="3" style="14" customWidth="1"/>
    <col min="7" max="8" width="11.7109375" style="14" customWidth="1"/>
    <col min="9" max="9" width="2.7109375" style="14" customWidth="1"/>
    <col min="10" max="10" width="9.7109375" style="14" customWidth="1"/>
    <col min="11" max="27" width="11.7109375" style="14" customWidth="1"/>
    <col min="28" max="16384" width="9.140625" style="14"/>
  </cols>
  <sheetData>
    <row r="2" spans="2:11" ht="54.75" customHeight="1" x14ac:dyDescent="0.25">
      <c r="B2" s="67" t="s">
        <v>83</v>
      </c>
      <c r="C2" s="68"/>
      <c r="D2" s="68"/>
      <c r="E2" s="68"/>
      <c r="F2" s="68"/>
      <c r="G2" s="68"/>
      <c r="H2" s="68"/>
      <c r="I2" s="68"/>
      <c r="J2" s="68"/>
      <c r="K2" s="69"/>
    </row>
    <row r="3" spans="2:11" ht="24.75" customHeight="1" x14ac:dyDescent="0.25"/>
    <row r="4" spans="2:11" ht="18.75" x14ac:dyDescent="0.25">
      <c r="B4" s="66" t="s">
        <v>90</v>
      </c>
      <c r="C4" s="66"/>
      <c r="D4" s="66"/>
      <c r="E4" s="66"/>
      <c r="H4" s="66" t="s">
        <v>91</v>
      </c>
      <c r="I4" s="66"/>
      <c r="J4" s="66"/>
    </row>
    <row r="6" spans="2:11" x14ac:dyDescent="0.25">
      <c r="B6" s="65" t="s">
        <v>84</v>
      </c>
      <c r="C6" s="65"/>
      <c r="D6" s="31">
        <v>6</v>
      </c>
      <c r="E6" s="14" t="s">
        <v>185</v>
      </c>
      <c r="G6" s="65" t="s">
        <v>89</v>
      </c>
      <c r="H6" s="70"/>
      <c r="I6" s="71">
        <v>0.5</v>
      </c>
      <c r="J6" s="72"/>
      <c r="K6" s="14" t="s">
        <v>185</v>
      </c>
    </row>
    <row r="7" spans="2:11" s="16" customFormat="1" ht="8.1" customHeight="1" x14ac:dyDescent="0.25">
      <c r="B7" s="15"/>
      <c r="C7" s="15"/>
      <c r="D7" s="32"/>
    </row>
    <row r="8" spans="2:11" x14ac:dyDescent="0.25">
      <c r="B8" s="65" t="s">
        <v>85</v>
      </c>
      <c r="C8" s="65"/>
      <c r="D8" s="31">
        <v>8</v>
      </c>
      <c r="E8" s="14" t="s">
        <v>185</v>
      </c>
      <c r="G8" s="65" t="s">
        <v>88</v>
      </c>
      <c r="H8" s="65"/>
      <c r="I8" s="71">
        <v>0.5</v>
      </c>
      <c r="J8" s="72"/>
      <c r="K8" s="14" t="s">
        <v>185</v>
      </c>
    </row>
    <row r="9" spans="2:11" ht="8.1" customHeight="1" x14ac:dyDescent="0.25">
      <c r="D9" s="33"/>
    </row>
    <row r="10" spans="2:11" x14ac:dyDescent="0.25">
      <c r="B10" s="65" t="s">
        <v>187</v>
      </c>
      <c r="C10" s="65"/>
      <c r="D10" s="31">
        <v>0</v>
      </c>
      <c r="E10" s="14" t="s">
        <v>186</v>
      </c>
      <c r="G10" s="65" t="s">
        <v>92</v>
      </c>
      <c r="H10" s="65"/>
      <c r="K10" s="18"/>
    </row>
    <row r="11" spans="2:11" ht="8.1" customHeight="1" x14ac:dyDescent="0.25"/>
    <row r="12" spans="2:11" x14ac:dyDescent="0.25">
      <c r="G12" s="65" t="s">
        <v>110</v>
      </c>
      <c r="H12" s="65"/>
      <c r="K12" s="18"/>
    </row>
    <row r="13" spans="2:11" ht="8.1" customHeight="1" x14ac:dyDescent="0.25"/>
    <row r="14" spans="2:11" x14ac:dyDescent="0.25">
      <c r="G14" s="65" t="s">
        <v>120</v>
      </c>
      <c r="H14" s="65"/>
      <c r="K14" s="18"/>
    </row>
    <row r="15" spans="2:11" ht="41.25" customHeight="1" x14ac:dyDescent="0.25">
      <c r="G15" s="21"/>
      <c r="H15" s="21"/>
      <c r="K15" s="18"/>
    </row>
    <row r="16" spans="2:11" ht="18.75" x14ac:dyDescent="0.25">
      <c r="B16" s="66" t="s">
        <v>125</v>
      </c>
      <c r="C16" s="66"/>
      <c r="D16" s="66"/>
      <c r="E16" s="66"/>
    </row>
    <row r="18" spans="3:11" x14ac:dyDescent="0.25">
      <c r="C18" s="21" t="s">
        <v>135</v>
      </c>
      <c r="F18" s="65" t="s">
        <v>99</v>
      </c>
      <c r="G18" s="65"/>
      <c r="H18" s="65"/>
      <c r="K18" s="18"/>
    </row>
    <row r="19" spans="3:11" ht="8.1" customHeight="1" x14ac:dyDescent="0.25"/>
    <row r="20" spans="3:11" x14ac:dyDescent="0.25">
      <c r="C20" s="21" t="s">
        <v>96</v>
      </c>
      <c r="F20" s="65" t="s">
        <v>146</v>
      </c>
      <c r="G20" s="65"/>
      <c r="H20" s="65"/>
      <c r="K20" s="18"/>
    </row>
    <row r="21" spans="3:11" ht="8.1" customHeight="1" x14ac:dyDescent="0.25"/>
    <row r="22" spans="3:11" x14ac:dyDescent="0.25">
      <c r="C22" s="24" t="s">
        <v>98</v>
      </c>
      <c r="F22" s="65" t="s">
        <v>127</v>
      </c>
      <c r="G22" s="65"/>
      <c r="H22" s="65"/>
      <c r="K22" s="18"/>
    </row>
    <row r="23" spans="3:11" ht="8.1" customHeight="1" x14ac:dyDescent="0.25">
      <c r="C23" s="25"/>
      <c r="D23" s="25"/>
      <c r="E23" s="25"/>
    </row>
    <row r="24" spans="3:11" x14ac:dyDescent="0.25">
      <c r="C24" s="24" t="s">
        <v>100</v>
      </c>
      <c r="F24" s="65" t="s">
        <v>129</v>
      </c>
      <c r="G24" s="65"/>
      <c r="H24" s="65"/>
      <c r="K24" s="18"/>
    </row>
    <row r="25" spans="3:11" ht="8.1" customHeight="1" x14ac:dyDescent="0.25">
      <c r="C25" s="25"/>
      <c r="D25" s="25"/>
      <c r="E25" s="25"/>
    </row>
    <row r="26" spans="3:11" x14ac:dyDescent="0.25">
      <c r="C26" s="24" t="s">
        <v>235</v>
      </c>
      <c r="F26" s="65" t="s">
        <v>128</v>
      </c>
      <c r="G26" s="65"/>
      <c r="H26" s="65"/>
      <c r="K26" s="18"/>
    </row>
    <row r="27" spans="3:11" s="25" customFormat="1" x14ac:dyDescent="0.25"/>
    <row r="28" spans="3:11" s="25" customFormat="1" x14ac:dyDescent="0.25"/>
    <row r="29" spans="3:11" s="25" customFormat="1" x14ac:dyDescent="0.25"/>
    <row r="30" spans="3:11" s="25" customFormat="1" x14ac:dyDescent="0.25"/>
    <row r="31" spans="3:11" s="25" customFormat="1" x14ac:dyDescent="0.25"/>
    <row r="32" spans="3:11" s="25" customFormat="1" x14ac:dyDescent="0.25"/>
    <row r="33" spans="8:13" s="25" customFormat="1" x14ac:dyDescent="0.25"/>
    <row r="34" spans="8:13" s="25" customFormat="1" x14ac:dyDescent="0.25">
      <c r="H34" s="14"/>
      <c r="I34" s="14"/>
      <c r="J34" s="14"/>
      <c r="K34" s="14"/>
      <c r="L34" s="14"/>
      <c r="M34" s="14"/>
    </row>
    <row r="35" spans="8:13" s="25" customFormat="1" x14ac:dyDescent="0.25">
      <c r="H35" s="14"/>
      <c r="I35" s="14"/>
      <c r="J35" s="14"/>
      <c r="K35" s="14"/>
      <c r="L35" s="14"/>
      <c r="M35" s="14"/>
    </row>
  </sheetData>
  <sheetProtection algorithmName="SHA-512" hashValue="fTRShLmIgiB19lw/D6CiCsrF5kudIwT4kXZmDumLVBDf0D+pMlly/kSEykwtKoDMiG7HJ7YFW1UdCGqGeZDGsg==" saltValue="Io9P8gb38v6PmYQDGw1x3w==" spinCount="100000" sheet="1" objects="1" scenarios="1" selectLockedCells="1"/>
  <mergeCells count="19">
    <mergeCell ref="G10:H10"/>
    <mergeCell ref="B10:C10"/>
    <mergeCell ref="G12:H12"/>
    <mergeCell ref="F20:H20"/>
    <mergeCell ref="I6:J6"/>
    <mergeCell ref="B2:K2"/>
    <mergeCell ref="G6:H6"/>
    <mergeCell ref="G8:H8"/>
    <mergeCell ref="H4:J4"/>
    <mergeCell ref="B6:C6"/>
    <mergeCell ref="B8:C8"/>
    <mergeCell ref="I8:J8"/>
    <mergeCell ref="B4:E4"/>
    <mergeCell ref="F24:H24"/>
    <mergeCell ref="B16:E16"/>
    <mergeCell ref="G14:H14"/>
    <mergeCell ref="F26:H26"/>
    <mergeCell ref="F18:H18"/>
    <mergeCell ref="F22:H22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5" r:id="rId4" name="Drop Down 7">
              <controlPr defaultSize="0" autoLine="0" autoPict="0">
                <anchor moveWithCells="1">
                  <from>
                    <xdr:col>8</xdr:col>
                    <xdr:colOff>0</xdr:colOff>
                    <xdr:row>9</xdr:row>
                    <xdr:rowOff>0</xdr:rowOff>
                  </from>
                  <to>
                    <xdr:col>10</xdr:col>
                    <xdr:colOff>685800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5" name="Drop Down 9">
              <controlPr defaultSize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10</xdr:col>
                    <xdr:colOff>685800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6" name="Drop Down 10">
              <controlPr defaultSize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10</xdr:col>
                    <xdr:colOff>685800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7" name="Drop Down 11">
              <controlPr defaultSize="0" autoLine="0" autoPict="0">
                <anchor moveWithCells="1">
                  <from>
                    <xdr:col>8</xdr:col>
                    <xdr:colOff>0</xdr:colOff>
                    <xdr:row>13</xdr:row>
                    <xdr:rowOff>0</xdr:rowOff>
                  </from>
                  <to>
                    <xdr:col>10</xdr:col>
                    <xdr:colOff>685800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" r:id="rId8" name="Drop Down 18">
              <controlPr defaultSize="0" autoLine="0" autoPict="0">
                <anchor moveWithCells="1">
                  <from>
                    <xdr:col>8</xdr:col>
                    <xdr:colOff>0</xdr:colOff>
                    <xdr:row>23</xdr:row>
                    <xdr:rowOff>0</xdr:rowOff>
                  </from>
                  <to>
                    <xdr:col>10</xdr:col>
                    <xdr:colOff>685800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9" name="Drop Down 19">
              <controlPr defaultSize="0" autoLine="0" autoPict="0">
                <anchor moveWithCells="1">
                  <from>
                    <xdr:col>3</xdr:col>
                    <xdr:colOff>0</xdr:colOff>
                    <xdr:row>21</xdr:row>
                    <xdr:rowOff>0</xdr:rowOff>
                  </from>
                  <to>
                    <xdr:col>4</xdr:col>
                    <xdr:colOff>1028700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" r:id="rId10" name="Drop Down 20">
              <controlPr defaultSize="0" autoLine="0" autoPict="0">
                <anchor moveWithCells="1">
                  <from>
                    <xdr:col>8</xdr:col>
                    <xdr:colOff>0</xdr:colOff>
                    <xdr:row>25</xdr:row>
                    <xdr:rowOff>0</xdr:rowOff>
                  </from>
                  <to>
                    <xdr:col>10</xdr:col>
                    <xdr:colOff>685800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" r:id="rId11" name="Drop Down 27">
              <controlPr defaultSize="0" autoLine="0" autoPict="0">
                <anchor moveWithCells="1">
                  <from>
                    <xdr:col>3</xdr:col>
                    <xdr:colOff>0</xdr:colOff>
                    <xdr:row>19</xdr:row>
                    <xdr:rowOff>0</xdr:rowOff>
                  </from>
                  <to>
                    <xdr:col>4</xdr:col>
                    <xdr:colOff>1028700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6" r:id="rId12" name="Drop Down 28">
              <controlPr defaultSize="0" autoLine="0" autoPict="0">
                <anchor moveWithCells="1">
                  <from>
                    <xdr:col>8</xdr:col>
                    <xdr:colOff>0</xdr:colOff>
                    <xdr:row>21</xdr:row>
                    <xdr:rowOff>0</xdr:rowOff>
                  </from>
                  <to>
                    <xdr:col>10</xdr:col>
                    <xdr:colOff>685800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" r:id="rId13" name="Drop Down 29">
              <controlPr defaultSize="0" autoLine="0" autoPict="0">
                <anchor moveWithCells="1">
                  <from>
                    <xdr:col>3</xdr:col>
                    <xdr:colOff>0</xdr:colOff>
                    <xdr:row>17</xdr:row>
                    <xdr:rowOff>0</xdr:rowOff>
                  </from>
                  <to>
                    <xdr:col>4</xdr:col>
                    <xdr:colOff>1028700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8" r:id="rId14" name="Drop Down 30">
              <controlPr defaultSize="0" autoLine="0" autoPict="0">
                <anchor moveWithCells="1">
                  <from>
                    <xdr:col>8</xdr:col>
                    <xdr:colOff>0</xdr:colOff>
                    <xdr:row>19</xdr:row>
                    <xdr:rowOff>0</xdr:rowOff>
                  </from>
                  <to>
                    <xdr:col>10</xdr:col>
                    <xdr:colOff>685800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" r:id="rId15" name="Drop Down 31">
              <controlPr defaultSize="0" autoLine="0" autoPict="0">
                <anchor moveWithCells="1">
                  <from>
                    <xdr:col>3</xdr:col>
                    <xdr:colOff>0</xdr:colOff>
                    <xdr:row>23</xdr:row>
                    <xdr:rowOff>0</xdr:rowOff>
                  </from>
                  <to>
                    <xdr:col>4</xdr:col>
                    <xdr:colOff>1028700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0" r:id="rId16" name="Drop Down 32">
              <controlPr defaultSize="0" autoLine="0" autoPict="0">
                <anchor moveWithCells="1">
                  <from>
                    <xdr:col>8</xdr:col>
                    <xdr:colOff>0</xdr:colOff>
                    <xdr:row>25</xdr:row>
                    <xdr:rowOff>0</xdr:rowOff>
                  </from>
                  <to>
                    <xdr:col>10</xdr:col>
                    <xdr:colOff>685800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1" r:id="rId17" name="Drop Down 33">
              <controlPr defaultSize="0" autoLine="0" autoPict="0">
                <anchor moveWithCells="1">
                  <from>
                    <xdr:col>3</xdr:col>
                    <xdr:colOff>0</xdr:colOff>
                    <xdr:row>23</xdr:row>
                    <xdr:rowOff>0</xdr:rowOff>
                  </from>
                  <to>
                    <xdr:col>4</xdr:col>
                    <xdr:colOff>1028700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3" r:id="rId18" name="Drop Down 35">
              <controlPr defaultSize="0" autoLine="0" autoPict="0">
                <anchor moveWithCells="1">
                  <from>
                    <xdr:col>3</xdr:col>
                    <xdr:colOff>0</xdr:colOff>
                    <xdr:row>25</xdr:row>
                    <xdr:rowOff>0</xdr:rowOff>
                  </from>
                  <to>
                    <xdr:col>4</xdr:col>
                    <xdr:colOff>1028700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4" r:id="rId19" name="Drop Down 36">
              <controlPr defaultSize="0" autoLine="0" autoPict="0">
                <anchor moveWithCells="1">
                  <from>
                    <xdr:col>8</xdr:col>
                    <xdr:colOff>0</xdr:colOff>
                    <xdr:row>17</xdr:row>
                    <xdr:rowOff>0</xdr:rowOff>
                  </from>
                  <to>
                    <xdr:col>10</xdr:col>
                    <xdr:colOff>685800</xdr:colOff>
                    <xdr:row>18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2"/>
  <dimension ref="A2:R61"/>
  <sheetViews>
    <sheetView showGridLines="0" workbookViewId="0">
      <selection activeCell="C2" sqref="C2:J2"/>
    </sheetView>
  </sheetViews>
  <sheetFormatPr defaultRowHeight="15" x14ac:dyDescent="0.25"/>
  <cols>
    <col min="1" max="1" width="5.85546875" style="14" customWidth="1"/>
    <col min="2" max="3" width="11.7109375" style="14" customWidth="1"/>
    <col min="4" max="4" width="9.42578125" style="14" customWidth="1"/>
    <col min="5" max="5" width="7.28515625" style="14" customWidth="1"/>
    <col min="6" max="6" width="10.85546875" style="14" customWidth="1"/>
    <col min="7" max="7" width="2.7109375" style="14" customWidth="1"/>
    <col min="8" max="27" width="11.7109375" style="14" customWidth="1"/>
    <col min="28" max="16384" width="9.140625" style="14"/>
  </cols>
  <sheetData>
    <row r="2" spans="1:15" ht="54.75" customHeight="1" x14ac:dyDescent="0.25">
      <c r="C2" s="77" t="s">
        <v>83</v>
      </c>
      <c r="D2" s="77"/>
      <c r="E2" s="77"/>
      <c r="F2" s="77"/>
      <c r="G2" s="77"/>
      <c r="H2" s="77"/>
      <c r="I2" s="77"/>
      <c r="J2" s="77"/>
      <c r="K2" s="17"/>
    </row>
    <row r="3" spans="1:15" ht="26.25" customHeight="1" x14ac:dyDescent="0.25"/>
    <row r="4" spans="1:15" ht="18.75" x14ac:dyDescent="0.25">
      <c r="B4" s="66" t="s">
        <v>104</v>
      </c>
      <c r="C4" s="66"/>
      <c r="D4" s="66"/>
      <c r="E4" s="66"/>
      <c r="F4" s="66"/>
      <c r="G4" s="63"/>
      <c r="H4" s="20" t="s">
        <v>140</v>
      </c>
      <c r="I4" s="20"/>
      <c r="J4" s="20"/>
    </row>
    <row r="6" spans="1:15" x14ac:dyDescent="0.25">
      <c r="B6" s="65" t="s">
        <v>93</v>
      </c>
      <c r="C6" s="65"/>
      <c r="D6" s="40">
        <f>Engine!G15</f>
        <v>94</v>
      </c>
      <c r="F6" s="22"/>
      <c r="G6" s="22"/>
      <c r="H6" s="22" t="str">
        <f>IF(Dados!J7=1,Giox!B2,IF(Dados!J7=2,Giox!C2,IF(Dados!J7=3,Giox!D2,Giox!F2)))</f>
        <v>01024 - FRONTAL AUTOCLAVE COM NÓ 2 X 14 X 3,00</v>
      </c>
    </row>
    <row r="7" spans="1:15" ht="6" customHeight="1" x14ac:dyDescent="0.25">
      <c r="A7" s="16"/>
      <c r="B7" s="62"/>
      <c r="C7" s="62"/>
      <c r="D7" s="41"/>
    </row>
    <row r="8" spans="1:15" x14ac:dyDescent="0.25">
      <c r="B8" s="65" t="s">
        <v>117</v>
      </c>
      <c r="C8" s="65"/>
      <c r="D8" s="42">
        <f>Engine!G17</f>
        <v>14</v>
      </c>
      <c r="E8" s="24" t="s">
        <v>173</v>
      </c>
      <c r="F8" s="14" t="s">
        <v>118</v>
      </c>
      <c r="G8" s="22"/>
      <c r="H8" s="22" t="str">
        <f>IF(Dados!J13=1,Giox!B3,IF(Dados!J13=2,Giox!C3,IF(Dados!J13=3,Giox!D3,IF(Dados!J13=4,Giox!E3,Giox!F3))))</f>
        <v>00450 - VIGA AUTOCLAVE 4 X 9 X 3,00</v>
      </c>
    </row>
    <row r="9" spans="1:15" ht="6" customHeight="1" x14ac:dyDescent="0.25">
      <c r="B9" s="62"/>
      <c r="C9" s="62"/>
      <c r="D9" s="41"/>
    </row>
    <row r="10" spans="1:15" x14ac:dyDescent="0.25">
      <c r="B10" s="65" t="s">
        <v>94</v>
      </c>
      <c r="C10" s="65"/>
      <c r="D10" s="43">
        <f>Engine!G19</f>
        <v>32</v>
      </c>
      <c r="F10" s="22"/>
      <c r="G10" s="22"/>
      <c r="H10" s="22" t="str">
        <f>IF(Dados!J13=1,Giox!B5,IF(Dados!J13=2,Giox!C5,IF(Dados!J13=3,Giox!D5,IF(Dados!J13=4,Giox!E5,Giox!F5))))</f>
        <v>00418 - TABUA AUTOCLAVE 2 X 7 X 3,00 OU 00411 - TABUA AUTOCLAVE 2 X 7 X 4,00</v>
      </c>
    </row>
    <row r="11" spans="1:15" ht="26.25" customHeight="1" x14ac:dyDescent="0.25"/>
    <row r="12" spans="1:15" ht="18.75" x14ac:dyDescent="0.25">
      <c r="B12" s="74" t="str">
        <f>IF(Dados!J4=1,Dados!A4,IF(Dados!J4=2,Dados!A6,Dados!A8))</f>
        <v>Fibrocimento 6 mm</v>
      </c>
      <c r="C12" s="74"/>
      <c r="D12" s="74"/>
      <c r="E12" s="74"/>
      <c r="F12" s="74"/>
      <c r="G12" s="64"/>
      <c r="H12" s="20" t="s">
        <v>140</v>
      </c>
      <c r="I12" s="20"/>
      <c r="J12" s="20"/>
    </row>
    <row r="14" spans="1:15" x14ac:dyDescent="0.25">
      <c r="B14" s="65" t="s">
        <v>112</v>
      </c>
      <c r="C14" s="65"/>
      <c r="D14" s="43">
        <f>Engine!G33</f>
        <v>28</v>
      </c>
      <c r="E14" s="24" t="s">
        <v>173</v>
      </c>
      <c r="F14" s="14" t="s">
        <v>113</v>
      </c>
      <c r="I14" s="39"/>
      <c r="J14" s="39"/>
      <c r="K14" s="39"/>
      <c r="L14" s="39"/>
      <c r="M14" s="39"/>
      <c r="N14" s="39"/>
      <c r="O14" s="39"/>
    </row>
    <row r="15" spans="1:15" ht="6" customHeight="1" x14ac:dyDescent="0.25">
      <c r="D15" s="41"/>
      <c r="E15" s="24"/>
      <c r="H15" s="39"/>
      <c r="I15" s="39"/>
      <c r="J15" s="39"/>
      <c r="K15" s="39"/>
      <c r="L15" s="39"/>
      <c r="M15" s="39"/>
      <c r="N15" s="39"/>
      <c r="O15" s="39"/>
    </row>
    <row r="16" spans="1:15" x14ac:dyDescent="0.25">
      <c r="B16" s="65" t="s">
        <v>256</v>
      </c>
      <c r="C16" s="65"/>
      <c r="D16" s="43">
        <f>Engine!G39</f>
        <v>24</v>
      </c>
      <c r="E16" s="24" t="s">
        <v>173</v>
      </c>
      <c r="F16" s="14" t="s">
        <v>113</v>
      </c>
      <c r="H16" s="73" t="str">
        <f>IF(Dados!J14=1,Giox!B28,IF(Dados!J14=2,Giox!C28,IF(Dados!J14=3,Giox!D28,IF(Dados!J14=4,Giox!E28,Giox!F28))))</f>
        <v>00447 - VIGA AUTOCLAVE 4 X 9 X 1,00</v>
      </c>
      <c r="I16" s="73"/>
      <c r="J16" s="73"/>
      <c r="K16" s="73"/>
      <c r="L16" s="73"/>
      <c r="M16" s="73"/>
      <c r="N16" s="39"/>
      <c r="O16" s="39"/>
    </row>
    <row r="17" spans="2:18" ht="6" customHeight="1" x14ac:dyDescent="0.25">
      <c r="D17" s="41"/>
      <c r="E17" s="24"/>
      <c r="H17" s="73"/>
      <c r="I17" s="73"/>
      <c r="J17" s="73"/>
      <c r="K17" s="73"/>
      <c r="L17" s="73"/>
      <c r="M17" s="73"/>
      <c r="N17" s="39"/>
      <c r="O17" s="39"/>
    </row>
    <row r="18" spans="2:18" x14ac:dyDescent="0.25">
      <c r="B18" s="65" t="s">
        <v>114</v>
      </c>
      <c r="C18" s="65"/>
      <c r="D18" s="43">
        <f>Engine!G35</f>
        <v>45</v>
      </c>
      <c r="E18" s="24" t="s">
        <v>173</v>
      </c>
      <c r="F18" s="14" t="s">
        <v>113</v>
      </c>
      <c r="H18" s="73"/>
      <c r="I18" s="73"/>
      <c r="J18" s="73"/>
      <c r="K18" s="73"/>
      <c r="L18" s="73"/>
      <c r="M18" s="73"/>
      <c r="N18" s="39"/>
      <c r="O18" s="39"/>
    </row>
    <row r="19" spans="2:18" ht="6" customHeight="1" x14ac:dyDescent="0.25">
      <c r="B19" s="62"/>
      <c r="C19" s="62"/>
      <c r="D19" s="41"/>
      <c r="E19" s="24"/>
      <c r="H19" s="39"/>
      <c r="I19" s="39"/>
      <c r="J19" s="39"/>
      <c r="K19" s="39"/>
      <c r="L19" s="39"/>
      <c r="M19" s="39"/>
      <c r="N19" s="39"/>
      <c r="O19" s="39"/>
    </row>
    <row r="20" spans="2:18" x14ac:dyDescent="0.25">
      <c r="B20" s="65" t="s">
        <v>115</v>
      </c>
      <c r="C20" s="65"/>
      <c r="D20" s="43">
        <f>Engine!G37</f>
        <v>30</v>
      </c>
      <c r="E20" s="24" t="s">
        <v>173</v>
      </c>
      <c r="F20" s="14" t="s">
        <v>113</v>
      </c>
      <c r="H20" s="39"/>
      <c r="I20" s="39"/>
      <c r="J20" s="39"/>
      <c r="K20" s="39"/>
      <c r="L20" s="39"/>
      <c r="M20" s="39"/>
      <c r="N20" s="39"/>
      <c r="O20" s="39"/>
    </row>
    <row r="21" spans="2:18" ht="6" customHeight="1" x14ac:dyDescent="0.25">
      <c r="B21" s="62"/>
      <c r="C21" s="62"/>
      <c r="D21" s="41"/>
    </row>
    <row r="22" spans="2:18" x14ac:dyDescent="0.25">
      <c r="B22" s="65" t="s">
        <v>111</v>
      </c>
      <c r="C22" s="65"/>
      <c r="D22" s="44">
        <f>Engine!G23</f>
        <v>40</v>
      </c>
      <c r="E22" s="59" t="str">
        <f>IF(Dados!J5=1,"2 X 9","4 X 9")</f>
        <v>2 X 9</v>
      </c>
      <c r="F22" s="60" t="str">
        <f>TEXT(ROUNDUP(Engine!G21/5,1)*5,"X 0,0")</f>
        <v>X 4,0</v>
      </c>
      <c r="G22" s="18">
        <f>ROUNDUP(Engine!G21/5,1)*5</f>
        <v>4</v>
      </c>
      <c r="H22" s="78" t="str">
        <f>IF(Dados!J14=1,Giox!B6,IF(Dados!J14=2,Giox!C6,IF(Dados!J14=3,Giox!D6,IF(Dados!J14=4,Giox!E6,Giox!F6))))</f>
        <v>TABUA AUTOCLAVE 2 X 9 (acima de 6m terá emendas)</v>
      </c>
      <c r="I22" s="78"/>
      <c r="J22" s="78"/>
      <c r="K22" s="78"/>
      <c r="L22" s="78"/>
      <c r="M22" s="78"/>
      <c r="N22" s="18"/>
      <c r="O22" s="18"/>
    </row>
    <row r="23" spans="2:18" ht="6" customHeight="1" x14ac:dyDescent="0.25">
      <c r="B23" s="62"/>
      <c r="C23" s="62"/>
      <c r="D23" s="41"/>
    </row>
    <row r="24" spans="2:18" x14ac:dyDescent="0.25">
      <c r="B24" s="65" t="s">
        <v>119</v>
      </c>
      <c r="C24" s="65"/>
      <c r="D24" s="43">
        <f>IF(Dados!J4&lt;=2,Engine!G25,Engine!G27)</f>
        <v>136</v>
      </c>
      <c r="E24" s="45" t="str">
        <f>IF(Dados!J4&lt;=2,"2 X 4,5",IF(Dados!J4&lt;=4,"2 X 7","2 X 9"))</f>
        <v>2 X 7</v>
      </c>
      <c r="F24" s="46" t="s">
        <v>113</v>
      </c>
      <c r="H24" s="14" t="str">
        <f>IF(Dados!J4&lt;=2,P24,IF(Dados!J4&lt;=4,Q24,R24))</f>
        <v>00418 - TABUA AUTOCLAVE 2 X 7 X 3,00 OU 00411 - TABUA AUTOCLAVE 2 X 7 X 4,00</v>
      </c>
      <c r="P24" s="18" t="str">
        <f>IF(Dados!J14=1,Giox!B4,IF(Dados!J14=2,Giox!C4,IF(Dados!J14=3,Giox!D4,IF(Dados!J14=4,Giox!E4,Giox!F4))))</f>
        <v>00419 - TABUA AUTOCLAVE 2 X 4,5 X 3,00 OU 00412 - TABUA AUTOCLAVE 2 X 4,5 X 4,00</v>
      </c>
      <c r="Q24" s="18" t="str">
        <f>IF(Dados!J14=1,Giox!B5,IF(Dados!J14=2,Giox!C5,IF(Dados!J14=3,Giox!D5,IF(Dados!J14=4,Giox!E5,Giox!F5))))</f>
        <v>00418 - TABUA AUTOCLAVE 2 X 7 X 3,00 OU 00411 - TABUA AUTOCLAVE 2 X 7 X 4,00</v>
      </c>
      <c r="R24" s="18" t="str">
        <f>IF(Dados!J14=1,Giox!#REF!,IF(Dados!J14=2,Giox!C7,IF(Dados!J14=3,Giox!D7,IF(Dados!J14=4,Giox!E8,Giox!F7))))</f>
        <v>TABUA AUTOCLAVE 2 X 9 (acima de 6m terá emendas)</v>
      </c>
    </row>
    <row r="25" spans="2:18" ht="6" customHeight="1" x14ac:dyDescent="0.25">
      <c r="B25" s="62"/>
      <c r="C25" s="62"/>
      <c r="D25" s="41"/>
    </row>
    <row r="26" spans="2:18" x14ac:dyDescent="0.25">
      <c r="B26" s="65" t="s">
        <v>99</v>
      </c>
      <c r="C26" s="65"/>
      <c r="D26" s="43">
        <f>Engine!G45</f>
        <v>36</v>
      </c>
      <c r="E26" s="14">
        <v>14</v>
      </c>
      <c r="F26" s="14" t="s">
        <v>113</v>
      </c>
      <c r="H26" s="22" t="str">
        <f>IF(Dados!J12=1,P26,IF(Dados!J12=2,Giox!E29,Giox!F29))</f>
        <v>12 UNIDADES 00420 - TABUA AUTOCLAVE TIPO ABA 2 X 14 X 3,00</v>
      </c>
      <c r="J26" s="47"/>
      <c r="L26" s="48"/>
      <c r="P26" s="18" t="str">
        <f>CONCATENATE(Q26," UNIDADES ",Giox!C29)</f>
        <v>12 UNIDADES 00420 - TABUA AUTOCLAVE TIPO ABA 2 X 14 X 3,00</v>
      </c>
      <c r="Q26" s="18">
        <f>(ROUNDUP(D26/3,0)*3)/3</f>
        <v>12</v>
      </c>
    </row>
    <row r="27" spans="2:18" ht="6" customHeight="1" x14ac:dyDescent="0.25">
      <c r="B27" s="62"/>
      <c r="C27" s="62"/>
      <c r="D27" s="41"/>
    </row>
    <row r="28" spans="2:18" x14ac:dyDescent="0.25">
      <c r="B28" s="65" t="s">
        <v>214</v>
      </c>
      <c r="C28" s="65"/>
      <c r="D28" s="44">
        <f>IF(Dados!J4=1,Engine!G51,IF(Dados!J4=2,Engine!G53,IF(Dados!J4=3,Engine!G55,IF(Dados!J4=4,Engine!G55,Engine!G57))))</f>
        <v>80</v>
      </c>
      <c r="H28" s="22" t="str">
        <f>IF(Dados!J4=1,Giox!B37,IF(Dados!J4=2,Giox!C37,IF(Dados!J4=3,Giox!D37,IF(Dados!J4=4,Giox!E37,Giox!F37))))</f>
        <v>00001 - TELHA FIBROCIMENTO 4MM CINZA 0,50 X 2,44</v>
      </c>
      <c r="J28" s="47"/>
      <c r="L28" s="48"/>
      <c r="O28" s="18"/>
    </row>
    <row r="29" spans="2:18" ht="6" customHeight="1" x14ac:dyDescent="0.25">
      <c r="B29" s="62"/>
      <c r="C29" s="62"/>
      <c r="D29" s="41"/>
    </row>
    <row r="30" spans="2:18" x14ac:dyDescent="0.25">
      <c r="B30" s="65" t="s">
        <v>216</v>
      </c>
      <c r="C30" s="65"/>
      <c r="D30" s="44">
        <f>IF(Dados!J4=1,Engine!F51,IF(Dados!J4=2,Engine!F53,IF(Dados!J4=3,Engine!F55,IF(Dados!J4=4,Engine!F55,Engine!F57))))</f>
        <v>20</v>
      </c>
      <c r="H30" s="22" t="str">
        <f>IF(Dados!J4=1,Giox!B38,IF(Dados!J4=2,Giox!C38,IF(Dados!J4=3,Giox!D38,IF(Dados!J4=4,Giox!E38,Giox!F38))))</f>
        <v>00004 - CUMEEIRA FIBROCIMENTO 4MM CINZA</v>
      </c>
      <c r="J30" s="47"/>
      <c r="L30" s="48"/>
      <c r="P30" s="18" t="str">
        <f>CONCATENATE(Q30," UNIDADES ",Giox!C33)</f>
        <v>7 UNIDADES 00421 - RODAPE AUTOCLAVE 1,5 X 7</v>
      </c>
      <c r="Q30" s="18">
        <f>(ROUNDUP(D30/3,0)*3)/3</f>
        <v>7</v>
      </c>
    </row>
    <row r="31" spans="2:18" ht="26.25" customHeight="1" x14ac:dyDescent="0.25"/>
    <row r="32" spans="2:18" ht="18.75" x14ac:dyDescent="0.25">
      <c r="B32" s="66" t="s">
        <v>106</v>
      </c>
      <c r="C32" s="66"/>
      <c r="D32" s="66"/>
      <c r="E32" s="66"/>
      <c r="F32" s="66"/>
      <c r="G32" s="63"/>
      <c r="H32" s="20" t="s">
        <v>140</v>
      </c>
      <c r="I32" s="20"/>
      <c r="J32" s="20"/>
    </row>
    <row r="34" spans="1:10" x14ac:dyDescent="0.25">
      <c r="B34" s="65" t="s">
        <v>111</v>
      </c>
      <c r="C34" s="65"/>
      <c r="D34" s="57">
        <f>Engine!G41</f>
        <v>118</v>
      </c>
      <c r="E34" s="45" t="s">
        <v>257</v>
      </c>
      <c r="F34" s="14" t="s">
        <v>113</v>
      </c>
      <c r="H34" s="61" t="str">
        <f>IF(Dados!J15=1,Giox!B5,IF(Dados!J15=2,Giox!C5,IF(Dados!J15=3,Giox!D5,IF(Dados!J15=4,Giox!E5,Giox!F5))))</f>
        <v>00418 - TABUA AUTOCLAVE 2 X 7 X 3,00 OU 00411 - TABUA AUTOCLAVE 2 X 7 X 4,00</v>
      </c>
    </row>
    <row r="35" spans="1:10" ht="6" customHeight="1" x14ac:dyDescent="0.25">
      <c r="A35" s="16"/>
      <c r="B35" s="62"/>
      <c r="C35" s="62"/>
      <c r="D35" s="41"/>
    </row>
    <row r="36" spans="1:10" x14ac:dyDescent="0.25">
      <c r="B36" s="65" t="s">
        <v>116</v>
      </c>
      <c r="C36" s="65"/>
      <c r="D36" s="43">
        <f>Engine!G43</f>
        <v>29.5</v>
      </c>
      <c r="E36" s="24" t="s">
        <v>188</v>
      </c>
      <c r="F36" s="14" t="s">
        <v>113</v>
      </c>
      <c r="H36" s="14" t="str">
        <f>IF(Dados!J15=1,Giox!B4,IF(Dados!J15=2,Giox!C4,IF(Dados!J15=3,Giox!D4,IF(Dados!J15=4,Giox!E4,Giox!F4))))</f>
        <v>00419 - TABUA AUTOCLAVE 2 X 4,5 X 3,00 OU 00412 - TABUA AUTOCLAVE 2 X 4,5 X 4,00</v>
      </c>
    </row>
    <row r="37" spans="1:10" ht="6" customHeight="1" x14ac:dyDescent="0.25">
      <c r="A37" s="16"/>
      <c r="B37" s="62"/>
      <c r="C37" s="62"/>
      <c r="D37" s="41"/>
    </row>
    <row r="38" spans="1:10" x14ac:dyDescent="0.25">
      <c r="B38" s="65" t="s">
        <v>96</v>
      </c>
      <c r="C38" s="65"/>
      <c r="D38" s="40">
        <f>Engine!G29</f>
        <v>50</v>
      </c>
      <c r="H38" s="14" t="str">
        <f>IF(Dados!J8=1,Giox!B30,IF(Dados!J8=2,Giox!C30,IF(Dados!J8=3,Giox!D30,IF(Dados!J8=4,Giox!E30,Giox!F30))))</f>
        <v>01023 - FORRO AUTOCLAVE COM NÓ 1 X 11,5 X 3,00</v>
      </c>
    </row>
    <row r="39" spans="1:10" ht="6" customHeight="1" x14ac:dyDescent="0.25">
      <c r="A39" s="16"/>
      <c r="B39" s="62"/>
      <c r="C39" s="62"/>
      <c r="D39" s="41"/>
    </row>
    <row r="40" spans="1:10" x14ac:dyDescent="0.25">
      <c r="B40" s="65" t="s">
        <v>97</v>
      </c>
      <c r="C40" s="65"/>
      <c r="D40" s="49">
        <f>IF(Engine!G31&gt;2,Engine!G31,"N/A")</f>
        <v>19</v>
      </c>
      <c r="H40" s="14" t="str">
        <f>IF(Dados!J8=1,Giox!B30,IF(Dados!J8=2,Giox!C30,IF(Dados!J8=3,Giox!D30,IF(Dados!J8=4,Giox!E30,IF(Formulário!I8&lt;1.9,Giox!F31,Giox!F30)))))</f>
        <v>01023 - FORRO AUTOCLAVE COM NÓ 1 X 11,5 X 3,00</v>
      </c>
    </row>
    <row r="41" spans="1:10" ht="26.25" customHeight="1" x14ac:dyDescent="0.25"/>
    <row r="42" spans="1:10" ht="18.75" x14ac:dyDescent="0.25">
      <c r="B42" s="66" t="s">
        <v>105</v>
      </c>
      <c r="C42" s="66"/>
      <c r="D42" s="66"/>
      <c r="E42" s="66"/>
      <c r="F42" s="66"/>
      <c r="G42" s="63"/>
      <c r="H42" s="20" t="s">
        <v>140</v>
      </c>
      <c r="I42" s="20"/>
      <c r="J42" s="20"/>
    </row>
    <row r="44" spans="1:10" x14ac:dyDescent="0.25">
      <c r="B44" s="65" t="s">
        <v>102</v>
      </c>
      <c r="C44" s="65"/>
      <c r="D44" s="43">
        <f>Engine!G11</f>
        <v>32</v>
      </c>
      <c r="E44" s="24" t="s">
        <v>173</v>
      </c>
      <c r="F44" s="14" t="s">
        <v>113</v>
      </c>
      <c r="G44" s="22"/>
      <c r="H44" s="14" t="str">
        <f>IF(Dados!J16=1,Giox!B28,IF(Dados!J16=2,Giox!C28,IF(Dados!J16=3,Giox!D28,IF(Dados!J16=4,Giox!E28,Giox!F28))))</f>
        <v>00447 - VIGA AUTOCLAVE 4 X 9 X 1,00</v>
      </c>
    </row>
    <row r="45" spans="1:10" ht="6" customHeight="1" x14ac:dyDescent="0.25">
      <c r="A45" s="16"/>
      <c r="B45" s="62"/>
      <c r="C45" s="62"/>
      <c r="D45" s="41"/>
    </row>
    <row r="46" spans="1:10" x14ac:dyDescent="0.25">
      <c r="B46" s="65" t="s">
        <v>103</v>
      </c>
      <c r="C46" s="65"/>
      <c r="D46" s="58">
        <f>Engine!G13</f>
        <v>102</v>
      </c>
      <c r="E46" s="24" t="s">
        <v>173</v>
      </c>
      <c r="F46" s="14" t="s">
        <v>113</v>
      </c>
      <c r="G46" s="22"/>
      <c r="H46" s="22" t="str">
        <f>IF(Dados!J16=1,Giox!B28,IF(Dados!J16=2,Giox!C28,IF(Dados!J16=3,Giox!D28,IF(Dados!J16=4,Giox!E28,Giox!F28))))</f>
        <v>00447 - VIGA AUTOCLAVE 4 X 9 X 1,00</v>
      </c>
    </row>
    <row r="47" spans="1:10" ht="6" customHeight="1" x14ac:dyDescent="0.25">
      <c r="B47" s="62"/>
      <c r="C47" s="62"/>
      <c r="D47" s="41"/>
    </row>
    <row r="48" spans="1:10" x14ac:dyDescent="0.25">
      <c r="B48" s="65" t="s">
        <v>98</v>
      </c>
      <c r="C48" s="65"/>
      <c r="D48" s="40">
        <f>Engine!G9</f>
        <v>50</v>
      </c>
      <c r="F48" s="22"/>
      <c r="G48" s="22"/>
      <c r="H48" s="22" t="str">
        <f>IF(Dados!J9=1,Giox!B32,IF(Dados!J9=2,Giox!C32,IF(Dados!J9=3,Giox!D32,Giox!F32)))</f>
        <v>01022 - ASSOALHO AUTOCLAVE COM NÓ 2 X 14 X 3,00</v>
      </c>
    </row>
    <row r="49" spans="1:17" ht="26.25" customHeight="1" x14ac:dyDescent="0.25"/>
    <row r="50" spans="1:17" ht="18.75" x14ac:dyDescent="0.25">
      <c r="B50" s="66" t="s">
        <v>95</v>
      </c>
      <c r="C50" s="66"/>
      <c r="D50" s="66"/>
      <c r="E50" s="66"/>
      <c r="F50" s="66"/>
      <c r="G50" s="63"/>
      <c r="H50" s="20" t="s">
        <v>140</v>
      </c>
      <c r="I50" s="20"/>
      <c r="J50" s="20"/>
    </row>
    <row r="52" spans="1:17" x14ac:dyDescent="0.25">
      <c r="B52" s="65" t="s">
        <v>100</v>
      </c>
      <c r="C52" s="65"/>
      <c r="D52" s="43">
        <f>Engine!G47</f>
        <v>28</v>
      </c>
      <c r="E52" s="14" t="str">
        <f>IF(Engine!H7=1,Dados!C4,IF(Engine!H7=2,Dados!C5,Dados!C6))</f>
        <v>5cm altura</v>
      </c>
      <c r="F52" s="50"/>
      <c r="H52" s="14" t="str">
        <f>IF(Dados!J10=1,Giox!C33,IF(Dados!J10=2,Giox!D33,Giox!F33))</f>
        <v>00421 - RODAPE AUTOCLAVE 1,5 X 7</v>
      </c>
    </row>
    <row r="53" spans="1:17" ht="6" customHeight="1" x14ac:dyDescent="0.25">
      <c r="A53" s="16"/>
      <c r="B53" s="62"/>
      <c r="C53" s="62"/>
      <c r="D53" s="41"/>
    </row>
    <row r="54" spans="1:17" x14ac:dyDescent="0.25">
      <c r="B54" s="65" t="s">
        <v>101</v>
      </c>
      <c r="C54" s="65"/>
      <c r="D54" s="43">
        <f>Engine!G49</f>
        <v>38</v>
      </c>
      <c r="E54" s="24"/>
      <c r="H54" s="14" t="str">
        <f>IF(Dados!J11=1,CONCATENATE(Q54," UNIDADES ",Giox!B36),IF(Dados!J11=2,CONCATENATE(Q54," UNIDADES ",Giox!C36),IF(Dados!J11=3,CONCATENATE(Q54," UNIDADES ",Giox!D36),Giox!F36)))</f>
        <v>13 UNIDADES 01368 - MEIA CANA AUTOCLAVE 2 X 2 X 3,00</v>
      </c>
      <c r="P54" s="18"/>
      <c r="Q54" s="18">
        <f>(ROUNDUP(D54/3,0)*3)/3</f>
        <v>13</v>
      </c>
    </row>
    <row r="55" spans="1:17" x14ac:dyDescent="0.25">
      <c r="B55" s="62"/>
      <c r="C55" s="62"/>
      <c r="D55" s="43"/>
      <c r="E55" s="24"/>
      <c r="P55" s="18"/>
      <c r="Q55" s="18"/>
    </row>
    <row r="56" spans="1:17" ht="17.25" customHeight="1" x14ac:dyDescent="0.25"/>
    <row r="57" spans="1:17" ht="15.75" x14ac:dyDescent="0.25">
      <c r="C57" s="56" t="s">
        <v>250</v>
      </c>
    </row>
    <row r="58" spans="1:17" ht="21.75" customHeight="1" x14ac:dyDescent="0.25">
      <c r="C58" s="55" t="s">
        <v>251</v>
      </c>
      <c r="D58" s="75" t="s">
        <v>253</v>
      </c>
      <c r="E58" s="75"/>
      <c r="F58" s="75"/>
      <c r="G58" s="75"/>
      <c r="H58" s="75"/>
      <c r="I58" s="75"/>
      <c r="J58" s="75"/>
      <c r="K58" s="75"/>
    </row>
    <row r="59" spans="1:17" ht="48.75" customHeight="1" x14ac:dyDescent="0.25">
      <c r="C59" s="55" t="s">
        <v>252</v>
      </c>
      <c r="D59" s="75" t="s">
        <v>254</v>
      </c>
      <c r="E59" s="75"/>
      <c r="F59" s="75"/>
      <c r="G59" s="75"/>
      <c r="H59" s="75"/>
      <c r="I59" s="75"/>
      <c r="J59" s="75"/>
      <c r="K59" s="75"/>
    </row>
    <row r="60" spans="1:17" ht="19.5" customHeight="1" x14ac:dyDescent="0.25"/>
    <row r="61" spans="1:17" ht="39" customHeight="1" x14ac:dyDescent="0.25">
      <c r="C61" s="76" t="s">
        <v>255</v>
      </c>
      <c r="D61" s="76"/>
      <c r="E61" s="76"/>
      <c r="F61" s="76"/>
      <c r="G61" s="76"/>
      <c r="H61" s="76"/>
      <c r="I61" s="76"/>
      <c r="J61" s="76"/>
      <c r="K61" s="76"/>
    </row>
  </sheetData>
  <sheetProtection algorithmName="SHA-512" hashValue="JB9XmwR5ctzUugPKMfY7t628SDlotFsADSri0x3QdX0FRry2M1Q9rt77ZIsorn446k9h03lcE6aoIjHF5qOwgw==" saltValue="OVvnHk9MoXlSpl/ld4y/nQ==" spinCount="100000" sheet="1" objects="1" scenarios="1" selectLockedCells="1" selectUnlockedCells="1"/>
  <mergeCells count="32">
    <mergeCell ref="D59:K59"/>
    <mergeCell ref="D58:K58"/>
    <mergeCell ref="C61:K61"/>
    <mergeCell ref="C2:J2"/>
    <mergeCell ref="B38:C38"/>
    <mergeCell ref="B6:C6"/>
    <mergeCell ref="B8:C8"/>
    <mergeCell ref="B44:C44"/>
    <mergeCell ref="B14:C14"/>
    <mergeCell ref="B18:C18"/>
    <mergeCell ref="B20:C20"/>
    <mergeCell ref="B26:C26"/>
    <mergeCell ref="B10:C10"/>
    <mergeCell ref="H22:M22"/>
    <mergeCell ref="B4:F4"/>
    <mergeCell ref="B32:F32"/>
    <mergeCell ref="H16:M18"/>
    <mergeCell ref="B52:C52"/>
    <mergeCell ref="B54:C54"/>
    <mergeCell ref="B12:F12"/>
    <mergeCell ref="B48:C48"/>
    <mergeCell ref="B22:C22"/>
    <mergeCell ref="B50:F50"/>
    <mergeCell ref="B36:C36"/>
    <mergeCell ref="B40:C40"/>
    <mergeCell ref="B16:C16"/>
    <mergeCell ref="B34:C34"/>
    <mergeCell ref="B24:C24"/>
    <mergeCell ref="B28:C28"/>
    <mergeCell ref="B30:C30"/>
    <mergeCell ref="B46:C46"/>
    <mergeCell ref="B42:F42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3"/>
  <dimension ref="A3:J19"/>
  <sheetViews>
    <sheetView workbookViewId="0">
      <selection activeCell="J15" sqref="J15"/>
    </sheetView>
  </sheetViews>
  <sheetFormatPr defaultRowHeight="15" x14ac:dyDescent="0.25"/>
  <cols>
    <col min="1" max="1" width="24.5703125" style="28" customWidth="1"/>
    <col min="2" max="2" width="9.85546875" style="28" customWidth="1"/>
    <col min="3" max="3" width="17.5703125" style="28" customWidth="1"/>
    <col min="4" max="5" width="18.5703125" style="28" customWidth="1"/>
    <col min="6" max="6" width="16" style="28" customWidth="1"/>
    <col min="7" max="7" width="17.140625" style="28" customWidth="1"/>
    <col min="8" max="8" width="6" style="28" customWidth="1"/>
    <col min="9" max="9" width="22.140625" style="29" customWidth="1"/>
    <col min="10" max="10" width="5.140625" style="28" customWidth="1"/>
    <col min="11" max="16384" width="9.140625" style="28"/>
  </cols>
  <sheetData>
    <row r="3" spans="1:10" s="26" customFormat="1" ht="38.25" customHeight="1" x14ac:dyDescent="0.25">
      <c r="A3" s="26" t="s">
        <v>131</v>
      </c>
      <c r="B3" s="26" t="s">
        <v>133</v>
      </c>
      <c r="C3" s="26" t="s">
        <v>234</v>
      </c>
      <c r="D3" s="54" t="s">
        <v>233</v>
      </c>
      <c r="E3" s="37" t="s">
        <v>132</v>
      </c>
      <c r="F3" s="37" t="s">
        <v>238</v>
      </c>
      <c r="G3" s="26" t="s">
        <v>232</v>
      </c>
      <c r="I3" s="79" t="s">
        <v>134</v>
      </c>
      <c r="J3" s="79"/>
    </row>
    <row r="4" spans="1:10" x14ac:dyDescent="0.25">
      <c r="A4" s="27" t="s">
        <v>229</v>
      </c>
      <c r="B4" s="27" t="s">
        <v>108</v>
      </c>
      <c r="C4" s="27" t="s">
        <v>196</v>
      </c>
      <c r="D4" s="27" t="s">
        <v>122</v>
      </c>
      <c r="E4" s="27" t="s">
        <v>121</v>
      </c>
      <c r="F4" s="27" t="s">
        <v>121</v>
      </c>
      <c r="G4" s="27" t="s">
        <v>122</v>
      </c>
      <c r="I4" s="29" t="s">
        <v>92</v>
      </c>
      <c r="J4" s="28">
        <v>3</v>
      </c>
    </row>
    <row r="5" spans="1:10" x14ac:dyDescent="0.25">
      <c r="A5" s="27" t="s">
        <v>215</v>
      </c>
      <c r="B5" s="27" t="s">
        <v>109</v>
      </c>
      <c r="C5" s="27" t="s">
        <v>197</v>
      </c>
      <c r="D5" s="27" t="s">
        <v>121</v>
      </c>
      <c r="E5" s="27" t="s">
        <v>130</v>
      </c>
      <c r="F5" s="27" t="s">
        <v>124</v>
      </c>
      <c r="G5" s="27" t="s">
        <v>121</v>
      </c>
      <c r="I5" s="29" t="s">
        <v>110</v>
      </c>
      <c r="J5" s="28">
        <v>1</v>
      </c>
    </row>
    <row r="6" spans="1:10" x14ac:dyDescent="0.25">
      <c r="A6" s="27" t="s">
        <v>217</v>
      </c>
      <c r="C6" s="27"/>
      <c r="D6" s="27" t="s">
        <v>130</v>
      </c>
      <c r="E6" s="27" t="s">
        <v>123</v>
      </c>
      <c r="F6" s="27" t="s">
        <v>123</v>
      </c>
      <c r="G6" s="28" t="s">
        <v>130</v>
      </c>
      <c r="I6" s="29" t="s">
        <v>120</v>
      </c>
      <c r="J6" s="28">
        <v>2</v>
      </c>
    </row>
    <row r="7" spans="1:10" x14ac:dyDescent="0.25">
      <c r="A7" s="27" t="s">
        <v>218</v>
      </c>
      <c r="D7" s="27" t="s">
        <v>123</v>
      </c>
      <c r="E7" s="27"/>
      <c r="F7" s="27"/>
      <c r="G7" s="27" t="s">
        <v>124</v>
      </c>
      <c r="I7" s="29" t="s">
        <v>126</v>
      </c>
      <c r="J7" s="28">
        <v>2</v>
      </c>
    </row>
    <row r="8" spans="1:10" x14ac:dyDescent="0.25">
      <c r="A8" s="27" t="s">
        <v>107</v>
      </c>
      <c r="G8" s="27" t="s">
        <v>123</v>
      </c>
      <c r="I8" s="29" t="s">
        <v>96</v>
      </c>
      <c r="J8" s="28">
        <v>2</v>
      </c>
    </row>
    <row r="9" spans="1:10" x14ac:dyDescent="0.25">
      <c r="I9" s="29" t="s">
        <v>98</v>
      </c>
      <c r="J9" s="28">
        <v>2</v>
      </c>
    </row>
    <row r="10" spans="1:10" x14ac:dyDescent="0.25">
      <c r="I10" s="29" t="s">
        <v>100</v>
      </c>
      <c r="J10" s="28">
        <v>1</v>
      </c>
    </row>
    <row r="11" spans="1:10" x14ac:dyDescent="0.25">
      <c r="I11" s="29" t="s">
        <v>235</v>
      </c>
      <c r="J11" s="28">
        <v>2</v>
      </c>
    </row>
    <row r="12" spans="1:10" x14ac:dyDescent="0.25">
      <c r="I12" s="29" t="s">
        <v>99</v>
      </c>
      <c r="J12" s="28">
        <v>1</v>
      </c>
    </row>
    <row r="13" spans="1:10" x14ac:dyDescent="0.25">
      <c r="E13" s="27"/>
      <c r="F13" s="27"/>
      <c r="I13" s="23" t="s">
        <v>146</v>
      </c>
      <c r="J13" s="28">
        <v>2</v>
      </c>
    </row>
    <row r="14" spans="1:10" x14ac:dyDescent="0.25">
      <c r="E14" s="27"/>
      <c r="F14" s="27"/>
      <c r="I14" s="23" t="s">
        <v>127</v>
      </c>
      <c r="J14" s="30">
        <v>2</v>
      </c>
    </row>
    <row r="15" spans="1:10" x14ac:dyDescent="0.25">
      <c r="E15" s="27"/>
      <c r="F15" s="27"/>
      <c r="I15" s="23" t="s">
        <v>129</v>
      </c>
      <c r="J15" s="30">
        <v>2</v>
      </c>
    </row>
    <row r="16" spans="1:10" x14ac:dyDescent="0.25">
      <c r="I16" s="23" t="s">
        <v>128</v>
      </c>
      <c r="J16" s="30">
        <v>2</v>
      </c>
    </row>
    <row r="18" spans="3:9" x14ac:dyDescent="0.25">
      <c r="C18" s="35"/>
      <c r="D18" s="35"/>
      <c r="E18" s="35"/>
      <c r="F18" s="35"/>
      <c r="G18" s="35"/>
      <c r="I18" s="36"/>
    </row>
    <row r="19" spans="3:9" x14ac:dyDescent="0.25">
      <c r="I19" s="28"/>
    </row>
  </sheetData>
  <mergeCells count="1">
    <mergeCell ref="I3:J3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4"/>
  <dimension ref="A2:F38"/>
  <sheetViews>
    <sheetView topLeftCell="C1" workbookViewId="0">
      <selection activeCell="E4" sqref="E4"/>
    </sheetView>
  </sheetViews>
  <sheetFormatPr defaultRowHeight="15" x14ac:dyDescent="0.25"/>
  <cols>
    <col min="1" max="1" width="24.5703125" style="34" customWidth="1"/>
    <col min="2" max="2" width="66.42578125" style="52" bestFit="1" customWidth="1"/>
    <col min="3" max="3" width="77.140625" style="52" bestFit="1" customWidth="1"/>
    <col min="4" max="4" width="79.85546875" style="52" bestFit="1" customWidth="1"/>
    <col min="5" max="5" width="52.85546875" style="52" bestFit="1" customWidth="1"/>
    <col min="6" max="6" width="48.5703125" style="52" bestFit="1" customWidth="1"/>
    <col min="7" max="16384" width="9.140625" style="52"/>
  </cols>
  <sheetData>
    <row r="2" spans="1:6" x14ac:dyDescent="0.25">
      <c r="A2" s="34" t="s">
        <v>135</v>
      </c>
      <c r="B2" s="52" t="s">
        <v>136</v>
      </c>
      <c r="C2" s="52" t="s">
        <v>137</v>
      </c>
      <c r="D2" s="52" t="s">
        <v>138</v>
      </c>
      <c r="F2" s="52" t="s">
        <v>231</v>
      </c>
    </row>
    <row r="3" spans="1:6" x14ac:dyDescent="0.25">
      <c r="A3" s="34" t="s">
        <v>139</v>
      </c>
      <c r="B3" s="52" t="s">
        <v>145</v>
      </c>
      <c r="C3" s="52" t="s">
        <v>141</v>
      </c>
      <c r="D3" s="52" t="s">
        <v>176</v>
      </c>
      <c r="E3" s="52" t="s">
        <v>142</v>
      </c>
      <c r="F3" s="52" t="s">
        <v>144</v>
      </c>
    </row>
    <row r="4" spans="1:6" x14ac:dyDescent="0.25">
      <c r="A4" s="34" t="s">
        <v>175</v>
      </c>
      <c r="B4" s="52" t="s">
        <v>246</v>
      </c>
      <c r="C4" s="53" t="s">
        <v>241</v>
      </c>
      <c r="D4" s="52" t="s">
        <v>283</v>
      </c>
      <c r="E4" s="52" t="s">
        <v>177</v>
      </c>
      <c r="F4" s="52" t="s">
        <v>178</v>
      </c>
    </row>
    <row r="5" spans="1:6" x14ac:dyDescent="0.25">
      <c r="A5" s="34" t="s">
        <v>174</v>
      </c>
      <c r="B5" s="52" t="s">
        <v>247</v>
      </c>
      <c r="C5" s="53" t="s">
        <v>242</v>
      </c>
      <c r="D5" s="53" t="s">
        <v>244</v>
      </c>
      <c r="E5" s="53" t="s">
        <v>281</v>
      </c>
      <c r="F5" s="53" t="s">
        <v>282</v>
      </c>
    </row>
    <row r="6" spans="1:6" x14ac:dyDescent="0.25">
      <c r="A6" s="34" t="s">
        <v>262</v>
      </c>
      <c r="B6" s="52" t="str">
        <f>IF(Dados!J5=1,B7,B17)</f>
        <v>TABUA PINUS 2 X 9 (acima de 6m terá emendas)</v>
      </c>
      <c r="C6" s="52" t="str">
        <f>IF(Dados!J5=1,C7,C17)</f>
        <v>TABUA AUTOCLAVE 2 X 9 (acima de 6m terá emendas)</v>
      </c>
      <c r="D6" s="52" t="str">
        <f>IF(Dados!J5=1,D7,D17)</f>
        <v>00214 - TABUA EUCALIPTO 2 X 9 X 3,00 OU 00218 - TABUA EUCALIPTO 2 X 9 X 4,00</v>
      </c>
      <c r="E6" s="52" t="str">
        <f>IF(Dados!J5=1,E7,E17)</f>
        <v>00233 - TABUA CAMBARA 2 X 9 X 4,00</v>
      </c>
      <c r="F6" s="52" t="str">
        <f>IF(Dados!J5=1,F7,F17)</f>
        <v>00644 - TABUA PEDRA 2 X 9 X 4,00</v>
      </c>
    </row>
    <row r="7" spans="1:6" x14ac:dyDescent="0.25">
      <c r="A7" s="34" t="s">
        <v>259</v>
      </c>
      <c r="B7" s="52" t="s">
        <v>260</v>
      </c>
      <c r="C7" s="53" t="s">
        <v>261</v>
      </c>
      <c r="D7" s="53" t="s">
        <v>243</v>
      </c>
      <c r="E7" s="52" t="str">
        <f>IF(IFERROR(FIND(TEXT(Resultado!F22,"@"),E8),0)&gt;1,E8,IF(IFERROR(FIND(TEXT(Resultado!F22,"@"),E9),0)&gt;1,E9,IF(IFERROR(FIND(TEXT(Resultado!F22,"@"),E10),0)&gt;1,E10,IF(IFERROR(FIND(TEXT(Resultado!F22,"@"),E11),0)&gt;1,E11,IF(IFERROR(FIND(TEXT(Resultado!F22,"@"),E12),0)&gt;1,E12,IF(IFERROR(FIND(TEXT(Resultado!F22,"@"),E13),0)&gt;1,E13,IF(IFERROR(FIND(TEXT(Resultado!F22,"@"),E14),0)&gt;1,E14,IF(IFERROR(FIND(TEXT(Resultado!F3,"@"),E15),0)&gt;1,E15,IF(IFERROR(FIND(TEXT(Resultado!F22,"@"),E16),0)&gt;1,E16,E17)))))))))</f>
        <v>00233 - TABUA CAMBARA 2 X 9 X 4,00</v>
      </c>
      <c r="F7" s="52" t="str">
        <f>IF(IFERROR(FIND(TEXT(Resultado!F22,"@"),F8),0)&gt;1,F8,IF(IFERROR(FIND(TEXT(Resultado!F22,"@"),F9),0)&gt;1,F9,IF(IFERROR(FIND(TEXT(Resultado!F22,"@"),F10),0)&gt;1,F10,IF(IFERROR(FIND(TEXT(Resultado!F22,"@"),F11),0)&gt;1,F11,IF(IFERROR(FIND(TEXT(Resultado!F22,"@"),F12),0)&gt;1,F12,IF(IFERROR(FIND(TEXT(Resultado!F22,"@"),F13),0)&gt;1,F13,IF(IFERROR(FIND(TEXT(Resultado!F22,"@"),F14),0)&gt;1,F14,IF(IFERROR(FIND(TEXT(Resultado!G3,"@"),F15),0)&gt;1,F15,IF(IFERROR(FIND(TEXT(Resultado!F22,"@"),F16),0)&gt;1,F16,F17)))))))))</f>
        <v>00644 - TABUA PEDRA 2 X 9 X 4,00</v>
      </c>
    </row>
    <row r="8" spans="1:6" x14ac:dyDescent="0.25">
      <c r="E8" s="53" t="s">
        <v>263</v>
      </c>
      <c r="F8" s="52" t="s">
        <v>272</v>
      </c>
    </row>
    <row r="9" spans="1:6" x14ac:dyDescent="0.25">
      <c r="E9" s="53" t="s">
        <v>264</v>
      </c>
      <c r="F9" s="52" t="s">
        <v>273</v>
      </c>
    </row>
    <row r="10" spans="1:6" x14ac:dyDescent="0.25">
      <c r="E10" s="53" t="s">
        <v>265</v>
      </c>
      <c r="F10" s="52" t="s">
        <v>274</v>
      </c>
    </row>
    <row r="11" spans="1:6" x14ac:dyDescent="0.25">
      <c r="E11" s="53" t="s">
        <v>266</v>
      </c>
      <c r="F11" s="52" t="s">
        <v>275</v>
      </c>
    </row>
    <row r="12" spans="1:6" x14ac:dyDescent="0.25">
      <c r="E12" s="53" t="s">
        <v>267</v>
      </c>
      <c r="F12" s="52" t="s">
        <v>276</v>
      </c>
    </row>
    <row r="13" spans="1:6" x14ac:dyDescent="0.25">
      <c r="E13" s="53" t="s">
        <v>268</v>
      </c>
      <c r="F13" s="52" t="s">
        <v>277</v>
      </c>
    </row>
    <row r="14" spans="1:6" x14ac:dyDescent="0.25">
      <c r="E14" s="53" t="s">
        <v>269</v>
      </c>
      <c r="F14" s="52" t="s">
        <v>278</v>
      </c>
    </row>
    <row r="15" spans="1:6" x14ac:dyDescent="0.25">
      <c r="E15" s="53" t="s">
        <v>270</v>
      </c>
      <c r="F15" s="52" t="s">
        <v>279</v>
      </c>
    </row>
    <row r="16" spans="1:6" x14ac:dyDescent="0.25">
      <c r="E16" s="53" t="s">
        <v>271</v>
      </c>
      <c r="F16" s="52" t="s">
        <v>280</v>
      </c>
    </row>
    <row r="17" spans="1:6" x14ac:dyDescent="0.25">
      <c r="A17" s="34" t="s">
        <v>258</v>
      </c>
      <c r="B17" s="52" t="str">
        <f>IF(Resultado!F22&lt;=3,B18,IF(Resultado!F22&lt;=4,Giox!B19,Giox!B20))</f>
        <v>VIGA PINUS 4 X 9 (acima de 4m terá emendas)</v>
      </c>
      <c r="C17" s="52" t="str">
        <f>IF(Resultado!G22&lt;=3,C18,IF(Resultado!G22&lt;=4,Giox!C19,IF(Resultado!G22&lt;=6,Giox!C20,Giox!C21)))</f>
        <v>00451 - VIGA AUTOCLAVE 4 X 9 X 4,00</v>
      </c>
      <c r="D17" s="52" t="str">
        <f>IF(Resultado!F22&lt;=3,D18,IF(Resultado!F22&lt;=4,Giox!D19,Giox!D20))</f>
        <v>VIGA EUCALIPTO 4 X 9 (acima de 4m terá emendas)</v>
      </c>
      <c r="E17" s="52" t="str">
        <f>IF(IFERROR(FIND(TEXT(Resultado!F22,"@"),E18),0)&gt;1,E18,IF(IFERROR(FIND(TEXT(Resultado!F22,"@"),E19),0)&gt;1,E19,IF(IFERROR(FIND(TEXT(Resultado!F22,"@"),E20),0)&gt;1,E20,IF(IFERROR(FIND(TEXT(Resultado!F22,"@"),E21),0)&gt;1,E21,IF(IFERROR(FIND(TEXT(Resultado!F22,"@"),E22),0)&gt;1,E22,IF(IFERROR(FIND(TEXT(Resultado!F22,"@"),E23),0)&gt;1,E23,IF(IFERROR(FIND(TEXT(Resultado!F22,"@"),E24),0)&gt;1,E24,IF(IFERROR(FIND(TEXT(Resultado!F13,"@"),E25),0)&gt;1,E25,IF(IFERROR(FIND(TEXT(Resultado!F22,"@"),E26),0)&gt;1,E26,E27)))))))))</f>
        <v>00262 - VIGA CAMBARA 4 X 9 X 4,00</v>
      </c>
      <c r="F17" s="52" t="str">
        <f>IF(IFERROR(FIND(TEXT(Resultado!F22,"@"),F18),0)&gt;1,F18,IF(IFERROR(FIND(TEXT(Resultado!F22,"@"),F19),0)&gt;1,F19,IF(IFERROR(FIND(TEXT(Resultado!F22,"@"),F20),0)&gt;1,F20,IF(IFERROR(FIND(TEXT(Resultado!F22,"@"),F21),0)&gt;1,F21,IF(IFERROR(FIND(TEXT(Resultado!F22,"@"),F22),0)&gt;1,F22,IF(IFERROR(FIND(TEXT(Resultado!F22,"@"),F23),0)&gt;1,F23,IF(IFERROR(FIND(TEXT(Resultado!F22,"@"),F24),0)&gt;1,F24,IF(IFERROR(FIND(TEXT(Resultado!G13,"@"),F25),0)&gt;1,F25,IF(IFERROR(FIND(TEXT(Resultado!F22,"@"),F26),0)&gt;1,F26,F27)))))))))</f>
        <v>00944 - VIGA PEDRA 4 X 9 X 4,00</v>
      </c>
    </row>
    <row r="18" spans="1:6" x14ac:dyDescent="0.25">
      <c r="B18" s="52" t="s">
        <v>145</v>
      </c>
      <c r="C18" s="52" t="s">
        <v>141</v>
      </c>
      <c r="D18" s="52" t="s">
        <v>143</v>
      </c>
      <c r="E18" s="52" t="s">
        <v>142</v>
      </c>
      <c r="F18" s="52" t="s">
        <v>144</v>
      </c>
    </row>
    <row r="19" spans="1:6" x14ac:dyDescent="0.25">
      <c r="B19" s="52" t="s">
        <v>148</v>
      </c>
      <c r="C19" s="52" t="s">
        <v>149</v>
      </c>
      <c r="D19" s="52" t="s">
        <v>153</v>
      </c>
      <c r="E19" s="52" t="s">
        <v>155</v>
      </c>
      <c r="F19" s="52" t="s">
        <v>165</v>
      </c>
    </row>
    <row r="20" spans="1:6" x14ac:dyDescent="0.25">
      <c r="B20" s="52" t="s">
        <v>152</v>
      </c>
      <c r="C20" s="52" t="s">
        <v>150</v>
      </c>
      <c r="D20" s="52" t="s">
        <v>154</v>
      </c>
      <c r="E20" s="52" t="s">
        <v>156</v>
      </c>
      <c r="F20" s="52" t="s">
        <v>166</v>
      </c>
    </row>
    <row r="21" spans="1:6" x14ac:dyDescent="0.25">
      <c r="C21" s="52" t="s">
        <v>151</v>
      </c>
      <c r="E21" s="52" t="s">
        <v>157</v>
      </c>
      <c r="F21" s="52" t="s">
        <v>167</v>
      </c>
    </row>
    <row r="22" spans="1:6" x14ac:dyDescent="0.25">
      <c r="E22" s="52" t="s">
        <v>158</v>
      </c>
      <c r="F22" s="52" t="s">
        <v>168</v>
      </c>
    </row>
    <row r="23" spans="1:6" x14ac:dyDescent="0.25">
      <c r="E23" s="52" t="s">
        <v>159</v>
      </c>
      <c r="F23" s="52" t="s">
        <v>169</v>
      </c>
    </row>
    <row r="24" spans="1:6" x14ac:dyDescent="0.25">
      <c r="E24" s="52" t="s">
        <v>160</v>
      </c>
      <c r="F24" s="52" t="s">
        <v>170</v>
      </c>
    </row>
    <row r="25" spans="1:6" x14ac:dyDescent="0.25">
      <c r="E25" s="52" t="s">
        <v>161</v>
      </c>
      <c r="F25" s="52" t="s">
        <v>171</v>
      </c>
    </row>
    <row r="26" spans="1:6" x14ac:dyDescent="0.25">
      <c r="E26" s="52" t="s">
        <v>162</v>
      </c>
      <c r="F26" s="52" t="s">
        <v>172</v>
      </c>
    </row>
    <row r="27" spans="1:6" x14ac:dyDescent="0.25">
      <c r="E27" s="52" t="s">
        <v>163</v>
      </c>
      <c r="F27" s="52" t="s">
        <v>164</v>
      </c>
    </row>
    <row r="28" spans="1:6" x14ac:dyDescent="0.25">
      <c r="A28" s="34" t="s">
        <v>147</v>
      </c>
      <c r="B28" s="52" t="s">
        <v>249</v>
      </c>
      <c r="C28" s="52" t="s">
        <v>239</v>
      </c>
      <c r="D28" s="52" t="s">
        <v>240</v>
      </c>
      <c r="E28" s="52" t="s">
        <v>245</v>
      </c>
      <c r="F28" s="52" t="s">
        <v>248</v>
      </c>
    </row>
    <row r="29" spans="1:6" x14ac:dyDescent="0.25">
      <c r="A29" s="34" t="s">
        <v>99</v>
      </c>
      <c r="C29" s="52" t="s">
        <v>179</v>
      </c>
      <c r="E29" s="52" t="s">
        <v>237</v>
      </c>
      <c r="F29" s="52" t="s">
        <v>236</v>
      </c>
    </row>
    <row r="30" spans="1:6" x14ac:dyDescent="0.25">
      <c r="A30" s="34" t="s">
        <v>96</v>
      </c>
      <c r="B30" s="52" t="s">
        <v>181</v>
      </c>
      <c r="C30" s="52" t="s">
        <v>182</v>
      </c>
      <c r="D30" s="52" t="s">
        <v>180</v>
      </c>
      <c r="E30" s="52" t="s">
        <v>183</v>
      </c>
      <c r="F30" s="52" t="s">
        <v>184</v>
      </c>
    </row>
    <row r="31" spans="1:6" x14ac:dyDescent="0.25">
      <c r="F31" s="52" t="s">
        <v>184</v>
      </c>
    </row>
    <row r="32" spans="1:6" x14ac:dyDescent="0.25">
      <c r="A32" s="34" t="s">
        <v>98</v>
      </c>
      <c r="B32" s="52" t="s">
        <v>189</v>
      </c>
      <c r="C32" s="52" t="s">
        <v>190</v>
      </c>
      <c r="D32" s="52" t="s">
        <v>191</v>
      </c>
      <c r="F32" s="52" t="s">
        <v>230</v>
      </c>
    </row>
    <row r="33" spans="1:6" x14ac:dyDescent="0.25">
      <c r="A33" s="34" t="s">
        <v>100</v>
      </c>
      <c r="C33" s="52" t="str">
        <f>IF(Dados!J6=1,C34,C35)</f>
        <v>00421 - RODAPE AUTOCLAVE 1,5 X 7</v>
      </c>
      <c r="D33" s="52" t="str">
        <f>IF(Dados!J6=1,D34,D35)</f>
        <v>00223 - RODAPE EUCALIPTO 1 X 7</v>
      </c>
      <c r="F33" s="52" t="str">
        <f>IF(Dados!J6=1,F34,F35)</f>
        <v>00695 - RODAPE PEDRA 7 X 1</v>
      </c>
    </row>
    <row r="34" spans="1:6" x14ac:dyDescent="0.25">
      <c r="C34" s="52" t="s">
        <v>195</v>
      </c>
      <c r="D34" s="52" t="s">
        <v>194</v>
      </c>
      <c r="F34" s="52" t="s">
        <v>192</v>
      </c>
    </row>
    <row r="35" spans="1:6" x14ac:dyDescent="0.25">
      <c r="C35" s="52" t="s">
        <v>195</v>
      </c>
      <c r="D35" s="52" t="s">
        <v>194</v>
      </c>
      <c r="F35" s="52" t="s">
        <v>193</v>
      </c>
    </row>
    <row r="36" spans="1:6" x14ac:dyDescent="0.25">
      <c r="A36" s="34" t="s">
        <v>198</v>
      </c>
      <c r="B36" s="52" t="s">
        <v>199</v>
      </c>
      <c r="C36" s="52" t="s">
        <v>200</v>
      </c>
      <c r="D36" s="52" t="s">
        <v>201</v>
      </c>
      <c r="F36" s="52" t="s">
        <v>202</v>
      </c>
    </row>
    <row r="37" spans="1:6" x14ac:dyDescent="0.25">
      <c r="A37" s="34" t="s">
        <v>214</v>
      </c>
      <c r="B37" s="52" t="s">
        <v>223</v>
      </c>
      <c r="C37" s="52" t="s">
        <v>226</v>
      </c>
      <c r="D37" s="52" t="s">
        <v>220</v>
      </c>
      <c r="E37" s="52" t="s">
        <v>221</v>
      </c>
      <c r="F37" s="52" t="s">
        <v>222</v>
      </c>
    </row>
    <row r="38" spans="1:6" x14ac:dyDescent="0.25">
      <c r="A38" s="34" t="s">
        <v>224</v>
      </c>
      <c r="B38" s="52" t="s">
        <v>225</v>
      </c>
      <c r="C38" s="52" t="s">
        <v>226</v>
      </c>
      <c r="D38" s="52" t="s">
        <v>227</v>
      </c>
      <c r="E38" s="52" t="s">
        <v>228</v>
      </c>
      <c r="F38" s="52" t="s">
        <v>228</v>
      </c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Plan5"/>
  <dimension ref="A1:K71"/>
  <sheetViews>
    <sheetView topLeftCell="A31" workbookViewId="0">
      <selection activeCell="A47" sqref="A47"/>
    </sheetView>
  </sheetViews>
  <sheetFormatPr defaultRowHeight="15" x14ac:dyDescent="0.25"/>
  <cols>
    <col min="1" max="1" width="36.5703125" bestFit="1" customWidth="1"/>
    <col min="2" max="2" width="23.28515625" bestFit="1" customWidth="1"/>
    <col min="3" max="3" width="19" bestFit="1" customWidth="1"/>
    <col min="4" max="4" width="23.42578125" bestFit="1" customWidth="1"/>
    <col min="5" max="5" width="22.5703125" bestFit="1" customWidth="1"/>
    <col min="6" max="6" width="22.7109375" bestFit="1" customWidth="1"/>
    <col min="7" max="7" width="31.5703125" bestFit="1" customWidth="1"/>
    <col min="8" max="8" width="10.42578125" customWidth="1"/>
  </cols>
  <sheetData>
    <row r="1" spans="1:11" ht="15.75" customHeight="1" thickTop="1" x14ac:dyDescent="0.25">
      <c r="A1" s="81" t="s">
        <v>43</v>
      </c>
      <c r="B1" s="82"/>
      <c r="C1" s="82"/>
      <c r="D1" s="82"/>
      <c r="E1" s="82"/>
      <c r="F1" s="82"/>
      <c r="G1" s="82"/>
      <c r="H1" s="82"/>
      <c r="I1" s="82"/>
      <c r="J1" s="82"/>
      <c r="K1" s="83"/>
    </row>
    <row r="2" spans="1:11" ht="15.75" thickBot="1" x14ac:dyDescent="0.3">
      <c r="A2" s="84"/>
      <c r="B2" s="85"/>
      <c r="C2" s="85"/>
      <c r="D2" s="85"/>
      <c r="E2" s="85"/>
      <c r="F2" s="85"/>
      <c r="G2" s="85"/>
      <c r="H2" s="85"/>
      <c r="I2" s="85"/>
      <c r="J2" s="85"/>
      <c r="K2" s="86"/>
    </row>
    <row r="3" spans="1:11" ht="15.75" thickTop="1" x14ac:dyDescent="0.25">
      <c r="A3" s="87" t="s">
        <v>0</v>
      </c>
      <c r="B3" s="88"/>
      <c r="C3" s="88"/>
      <c r="D3" s="88"/>
      <c r="E3" s="88"/>
      <c r="F3" s="88"/>
      <c r="G3" s="88"/>
      <c r="H3" s="88"/>
      <c r="I3" s="88"/>
      <c r="J3" s="88"/>
      <c r="K3" s="89"/>
    </row>
    <row r="4" spans="1:11" ht="15.75" thickBot="1" x14ac:dyDescent="0.3">
      <c r="A4" s="90"/>
      <c r="B4" s="91"/>
      <c r="C4" s="91"/>
      <c r="D4" s="91"/>
      <c r="E4" s="91"/>
      <c r="F4" s="91"/>
      <c r="G4" s="91"/>
      <c r="H4" s="91"/>
      <c r="I4" s="91"/>
      <c r="J4" s="91"/>
      <c r="K4" s="92"/>
    </row>
    <row r="5" spans="1:11" ht="16.5" thickTop="1" thickBot="1" x14ac:dyDescent="0.3">
      <c r="A5" s="10" t="s">
        <v>44</v>
      </c>
      <c r="C5" s="10" t="s">
        <v>6</v>
      </c>
      <c r="D5" s="5" t="s">
        <v>2</v>
      </c>
      <c r="E5" s="5"/>
      <c r="F5" s="5"/>
      <c r="G5" s="5" t="s">
        <v>47</v>
      </c>
      <c r="H5" s="19"/>
      <c r="I5" s="2"/>
      <c r="J5" s="2"/>
      <c r="K5" s="1"/>
    </row>
    <row r="6" spans="1:11" ht="16.5" thickTop="1" thickBot="1" x14ac:dyDescent="0.3">
      <c r="A6" s="7">
        <f>Formulário!D6</f>
        <v>6</v>
      </c>
      <c r="B6" s="7" t="s">
        <v>1</v>
      </c>
      <c r="C6" s="7">
        <f>Formulário!D8</f>
        <v>8</v>
      </c>
      <c r="D6" s="7">
        <f>A6*C6</f>
        <v>48</v>
      </c>
      <c r="E6" s="5"/>
      <c r="F6" s="5"/>
      <c r="G6" s="7">
        <f>D6</f>
        <v>48</v>
      </c>
      <c r="H6" s="19"/>
      <c r="I6" s="2"/>
      <c r="J6" s="2"/>
      <c r="K6" s="1"/>
    </row>
    <row r="7" spans="1:11" ht="16.5" thickTop="1" thickBot="1" x14ac:dyDescent="0.3">
      <c r="A7" s="5"/>
      <c r="B7" s="5"/>
      <c r="C7" s="5"/>
      <c r="D7" s="5"/>
      <c r="E7" s="5"/>
      <c r="F7" s="5"/>
      <c r="G7" s="5"/>
      <c r="H7" s="19">
        <v>1</v>
      </c>
      <c r="I7" s="2"/>
      <c r="J7" s="2"/>
      <c r="K7" s="1"/>
    </row>
    <row r="8" spans="1:11" ht="16.5" thickTop="1" thickBot="1" x14ac:dyDescent="0.3">
      <c r="A8" s="6" t="s">
        <v>45</v>
      </c>
      <c r="B8" s="4" t="s">
        <v>29</v>
      </c>
      <c r="C8" s="5" t="s">
        <v>11</v>
      </c>
      <c r="D8" s="5"/>
      <c r="E8" s="5"/>
      <c r="F8" s="5"/>
      <c r="G8" s="6" t="s">
        <v>46</v>
      </c>
      <c r="H8" s="19"/>
      <c r="I8" s="2"/>
      <c r="J8" s="2"/>
      <c r="K8" s="1"/>
    </row>
    <row r="9" spans="1:11" ht="16.5" thickTop="1" thickBot="1" x14ac:dyDescent="0.3">
      <c r="A9" s="7">
        <f>D6</f>
        <v>48</v>
      </c>
      <c r="B9" s="7">
        <v>2</v>
      </c>
      <c r="C9" s="7">
        <f>A9+B9</f>
        <v>50</v>
      </c>
      <c r="D9" s="5"/>
      <c r="E9" s="5"/>
      <c r="F9" s="5"/>
      <c r="G9" s="8">
        <f>C9</f>
        <v>50</v>
      </c>
      <c r="H9" s="19"/>
      <c r="I9" s="2"/>
      <c r="J9" s="2"/>
      <c r="K9" s="1"/>
    </row>
    <row r="10" spans="1:11" ht="16.5" thickTop="1" thickBot="1" x14ac:dyDescent="0.3">
      <c r="A10" s="6" t="s">
        <v>3</v>
      </c>
      <c r="B10" s="4" t="s">
        <v>86</v>
      </c>
      <c r="C10" s="5" t="s">
        <v>48</v>
      </c>
      <c r="D10" s="5" t="s">
        <v>4</v>
      </c>
      <c r="E10" s="5" t="s">
        <v>6</v>
      </c>
      <c r="F10" s="5"/>
      <c r="G10" s="6" t="s">
        <v>49</v>
      </c>
      <c r="H10" s="2"/>
      <c r="I10" s="2"/>
      <c r="J10" s="2"/>
      <c r="K10" s="1"/>
    </row>
    <row r="11" spans="1:11" ht="16.5" thickTop="1" thickBot="1" x14ac:dyDescent="0.3">
      <c r="A11" s="7">
        <f>A6/1.5</f>
        <v>4</v>
      </c>
      <c r="B11" s="7">
        <f>ROUNDUP(A11,0)</f>
        <v>4</v>
      </c>
      <c r="C11" s="7">
        <f>B11</f>
        <v>4</v>
      </c>
      <c r="D11" s="7" t="s">
        <v>5</v>
      </c>
      <c r="E11" s="7">
        <f>C6</f>
        <v>8</v>
      </c>
      <c r="F11" s="5"/>
      <c r="G11" s="7">
        <f>C11*E11</f>
        <v>32</v>
      </c>
      <c r="H11" s="2"/>
      <c r="I11" s="2"/>
      <c r="J11" s="2"/>
      <c r="K11" s="1"/>
    </row>
    <row r="12" spans="1:11" ht="16.5" thickTop="1" thickBot="1" x14ac:dyDescent="0.3">
      <c r="A12" s="6" t="s">
        <v>7</v>
      </c>
      <c r="B12" s="4" t="s">
        <v>9</v>
      </c>
      <c r="C12" s="5" t="s">
        <v>48</v>
      </c>
      <c r="D12" s="5" t="s">
        <v>4</v>
      </c>
      <c r="E12" s="5" t="s">
        <v>6</v>
      </c>
      <c r="F12" s="5"/>
      <c r="G12" s="6" t="s">
        <v>49</v>
      </c>
      <c r="H12" s="2"/>
      <c r="I12" s="2"/>
      <c r="J12" s="2"/>
      <c r="K12" s="1"/>
    </row>
    <row r="13" spans="1:11" ht="16.5" thickTop="1" thickBot="1" x14ac:dyDescent="0.3">
      <c r="A13" s="7">
        <f>C6/0.5</f>
        <v>16</v>
      </c>
      <c r="B13" s="7">
        <v>1</v>
      </c>
      <c r="C13" s="7">
        <f>A13+B13</f>
        <v>17</v>
      </c>
      <c r="D13" s="7" t="s">
        <v>5</v>
      </c>
      <c r="E13" s="7">
        <f>A6</f>
        <v>6</v>
      </c>
      <c r="F13" s="5"/>
      <c r="G13" s="7">
        <f>C13*E13</f>
        <v>102</v>
      </c>
      <c r="H13" s="2"/>
      <c r="I13" s="2"/>
      <c r="J13" s="2"/>
      <c r="K13" s="1"/>
    </row>
    <row r="14" spans="1:11" ht="16.5" thickTop="1" thickBot="1" x14ac:dyDescent="0.3">
      <c r="A14" s="6" t="s">
        <v>73</v>
      </c>
      <c r="B14" s="4" t="s">
        <v>10</v>
      </c>
      <c r="C14" s="5" t="s">
        <v>52</v>
      </c>
      <c r="D14" s="10" t="s">
        <v>12</v>
      </c>
      <c r="E14" s="5" t="s">
        <v>50</v>
      </c>
      <c r="F14" s="5" t="s">
        <v>51</v>
      </c>
      <c r="G14" s="6" t="s">
        <v>81</v>
      </c>
      <c r="H14" s="2"/>
      <c r="I14" s="2"/>
      <c r="J14" s="2"/>
      <c r="K14" s="1"/>
    </row>
    <row r="15" spans="1:11" ht="16.5" thickTop="1" thickBot="1" x14ac:dyDescent="0.3">
      <c r="A15" s="7">
        <f>A6+A6+C6+C6</f>
        <v>28</v>
      </c>
      <c r="B15" s="7">
        <v>3</v>
      </c>
      <c r="C15" s="7">
        <f>A15*B15+10</f>
        <v>94</v>
      </c>
      <c r="D15" s="5">
        <f>Formulário!D10</f>
        <v>0</v>
      </c>
      <c r="E15" s="7">
        <v>3</v>
      </c>
      <c r="F15" s="7">
        <f>D15*E15</f>
        <v>0</v>
      </c>
      <c r="G15" s="7">
        <f>C15+F15</f>
        <v>94</v>
      </c>
      <c r="H15" s="2"/>
      <c r="I15" s="2"/>
      <c r="J15" s="2"/>
      <c r="K15" s="1"/>
    </row>
    <row r="16" spans="1:11" ht="16.5" thickTop="1" thickBot="1" x14ac:dyDescent="0.3">
      <c r="A16" s="6" t="s">
        <v>14</v>
      </c>
      <c r="B16" s="5" t="s">
        <v>86</v>
      </c>
      <c r="C16" s="5" t="s">
        <v>15</v>
      </c>
      <c r="D16" s="5" t="s">
        <v>11</v>
      </c>
      <c r="E16" s="5" t="s">
        <v>4</v>
      </c>
      <c r="F16" s="5" t="s">
        <v>10</v>
      </c>
      <c r="G16" s="6" t="s">
        <v>53</v>
      </c>
      <c r="H16" s="2"/>
      <c r="I16" s="2"/>
      <c r="J16" s="2"/>
      <c r="K16" s="1"/>
    </row>
    <row r="17" spans="1:11" ht="16.5" thickTop="1" thickBot="1" x14ac:dyDescent="0.3">
      <c r="A17" s="7">
        <f>A15/2.5</f>
        <v>11.2</v>
      </c>
      <c r="B17" s="7">
        <f>ROUNDUP(A17,0)</f>
        <v>12</v>
      </c>
      <c r="C17" s="7">
        <v>2</v>
      </c>
      <c r="D17" s="7">
        <f>B17+C17</f>
        <v>14</v>
      </c>
      <c r="E17" s="7" t="s">
        <v>5</v>
      </c>
      <c r="F17" s="7">
        <v>3</v>
      </c>
      <c r="G17" s="7">
        <f>D17</f>
        <v>14</v>
      </c>
      <c r="H17" s="2"/>
      <c r="I17" s="2"/>
      <c r="J17" s="2"/>
      <c r="K17" s="1"/>
    </row>
    <row r="18" spans="1:11" ht="16.5" thickTop="1" thickBot="1" x14ac:dyDescent="0.3">
      <c r="A18" s="6" t="s">
        <v>16</v>
      </c>
      <c r="B18" s="5" t="s">
        <v>17</v>
      </c>
      <c r="C18" s="5" t="s">
        <v>19</v>
      </c>
      <c r="D18" s="5" t="s">
        <v>4</v>
      </c>
      <c r="E18" s="3" t="s">
        <v>60</v>
      </c>
      <c r="F18" s="5" t="s">
        <v>33</v>
      </c>
      <c r="G18" s="6" t="s">
        <v>54</v>
      </c>
      <c r="H18" s="2"/>
      <c r="I18" s="2"/>
      <c r="J18" s="2"/>
      <c r="K18" s="1"/>
    </row>
    <row r="19" spans="1:11" ht="16.5" thickTop="1" thickBot="1" x14ac:dyDescent="0.3">
      <c r="A19" s="7">
        <f>A15</f>
        <v>28</v>
      </c>
      <c r="B19" s="7">
        <v>4</v>
      </c>
      <c r="C19" s="7">
        <f>A19+B19</f>
        <v>32</v>
      </c>
      <c r="D19" s="7" t="s">
        <v>18</v>
      </c>
      <c r="E19" s="7">
        <f>D15</f>
        <v>0</v>
      </c>
      <c r="F19" s="7" t="s">
        <v>18</v>
      </c>
      <c r="G19" s="7">
        <f>C19+E19</f>
        <v>32</v>
      </c>
      <c r="H19" s="2"/>
      <c r="I19" s="2"/>
      <c r="J19" s="2"/>
      <c r="K19" s="1"/>
    </row>
    <row r="20" spans="1:11" ht="16.5" thickTop="1" thickBot="1" x14ac:dyDescent="0.3">
      <c r="A20" s="6" t="s">
        <v>20</v>
      </c>
      <c r="B20" s="10" t="s">
        <v>87</v>
      </c>
      <c r="C20" s="5" t="s">
        <v>21</v>
      </c>
      <c r="D20" s="5"/>
      <c r="E20" s="5" t="s">
        <v>4</v>
      </c>
      <c r="F20" s="5"/>
      <c r="G20" s="6" t="s">
        <v>55</v>
      </c>
      <c r="H20" s="2"/>
      <c r="I20" s="2"/>
      <c r="J20" s="2"/>
      <c r="K20" s="1"/>
    </row>
    <row r="21" spans="1:11" ht="16.5" thickTop="1" thickBot="1" x14ac:dyDescent="0.3">
      <c r="A21" s="7">
        <f>A6/2+0.5</f>
        <v>3.5</v>
      </c>
      <c r="B21" s="7">
        <f>Formulário!I8</f>
        <v>0.5</v>
      </c>
      <c r="C21" s="7">
        <f>A21+B21</f>
        <v>4</v>
      </c>
      <c r="D21" s="5"/>
      <c r="E21" s="7" t="s">
        <v>5</v>
      </c>
      <c r="F21" s="5"/>
      <c r="G21" s="38">
        <f>C21</f>
        <v>4</v>
      </c>
      <c r="H21" s="2"/>
      <c r="I21" s="2"/>
      <c r="J21" s="2"/>
      <c r="K21" s="1"/>
    </row>
    <row r="22" spans="1:11" ht="16.5" thickTop="1" thickBot="1" x14ac:dyDescent="0.3">
      <c r="A22" s="51" t="s">
        <v>206</v>
      </c>
      <c r="B22" s="10" t="s">
        <v>22</v>
      </c>
      <c r="C22" s="5" t="s">
        <v>13</v>
      </c>
      <c r="D22" s="5" t="s">
        <v>86</v>
      </c>
      <c r="E22" s="5" t="s">
        <v>37</v>
      </c>
      <c r="F22" s="5" t="s">
        <v>57</v>
      </c>
      <c r="G22" s="6" t="s">
        <v>56</v>
      </c>
      <c r="H22" s="2"/>
      <c r="I22" s="2"/>
      <c r="J22" s="2"/>
      <c r="K22" s="1"/>
    </row>
    <row r="23" spans="1:11" ht="16.5" thickTop="1" thickBot="1" x14ac:dyDescent="0.3">
      <c r="A23" s="7">
        <f>C6+B21+B21</f>
        <v>9</v>
      </c>
      <c r="B23" s="7">
        <f>Formulário!I6</f>
        <v>0.5</v>
      </c>
      <c r="C23" s="7">
        <f>A23/B23</f>
        <v>18</v>
      </c>
      <c r="D23" s="7">
        <f>ROUNDUP(C23,0)</f>
        <v>18</v>
      </c>
      <c r="E23" s="7">
        <v>2</v>
      </c>
      <c r="F23" s="7">
        <f>D23+E23</f>
        <v>20</v>
      </c>
      <c r="G23" s="7">
        <f>F23+F23</f>
        <v>40</v>
      </c>
      <c r="H23" s="2"/>
      <c r="I23" s="2"/>
      <c r="J23" s="2"/>
      <c r="K23" s="1"/>
    </row>
    <row r="24" spans="1:11" ht="16.5" thickTop="1" thickBot="1" x14ac:dyDescent="0.3">
      <c r="A24" s="6" t="s">
        <v>24</v>
      </c>
      <c r="B24" s="5" t="s">
        <v>86</v>
      </c>
      <c r="C24" s="5" t="s">
        <v>23</v>
      </c>
      <c r="D24" s="5" t="s">
        <v>25</v>
      </c>
      <c r="E24" s="5"/>
      <c r="F24" s="5" t="s">
        <v>26</v>
      </c>
      <c r="G24" s="6" t="s">
        <v>58</v>
      </c>
      <c r="H24" s="2"/>
      <c r="I24" s="2"/>
      <c r="J24" s="2"/>
      <c r="K24" s="1"/>
    </row>
    <row r="25" spans="1:11" ht="16.5" thickTop="1" thickBot="1" x14ac:dyDescent="0.3">
      <c r="A25" s="7">
        <f>C21*3</f>
        <v>12</v>
      </c>
      <c r="B25" s="7">
        <f>ROUNDUP(A25,0)</f>
        <v>12</v>
      </c>
      <c r="C25" s="7">
        <v>2</v>
      </c>
      <c r="D25" s="7">
        <f>B25+C25</f>
        <v>14</v>
      </c>
      <c r="E25" s="7">
        <f>D25*A23</f>
        <v>126</v>
      </c>
      <c r="F25" s="7">
        <f>E25+E25</f>
        <v>252</v>
      </c>
      <c r="G25" s="7">
        <f>F25+20</f>
        <v>272</v>
      </c>
      <c r="H25" s="2"/>
      <c r="I25" s="2"/>
      <c r="J25" s="2"/>
      <c r="K25" s="1"/>
    </row>
    <row r="26" spans="1:11" ht="16.5" thickTop="1" thickBot="1" x14ac:dyDescent="0.3">
      <c r="A26" s="6" t="s">
        <v>27</v>
      </c>
      <c r="B26" s="5" t="s">
        <v>86</v>
      </c>
      <c r="C26" s="5" t="s">
        <v>23</v>
      </c>
      <c r="D26" s="5" t="s">
        <v>25</v>
      </c>
      <c r="E26" s="5"/>
      <c r="F26" s="5" t="s">
        <v>26</v>
      </c>
      <c r="G26" s="6" t="s">
        <v>59</v>
      </c>
      <c r="H26" s="2"/>
      <c r="I26" s="2"/>
      <c r="J26" s="2"/>
      <c r="K26" s="1"/>
    </row>
    <row r="27" spans="1:11" ht="16.5" thickTop="1" thickBot="1" x14ac:dyDescent="0.3">
      <c r="A27" s="7">
        <f>C21/0.7</f>
        <v>5.7142857142857144</v>
      </c>
      <c r="B27" s="7">
        <f>ROUNDUP(A27,0)</f>
        <v>6</v>
      </c>
      <c r="C27" s="7">
        <v>1</v>
      </c>
      <c r="D27" s="7">
        <f>B27+C27</f>
        <v>7</v>
      </c>
      <c r="E27" s="7">
        <f>D27*A23</f>
        <v>63</v>
      </c>
      <c r="F27" s="7">
        <f>E27+E27</f>
        <v>126</v>
      </c>
      <c r="G27" s="7">
        <f>F27+10</f>
        <v>136</v>
      </c>
      <c r="H27" s="2"/>
      <c r="I27" s="2"/>
      <c r="J27" s="2"/>
      <c r="K27" s="1"/>
    </row>
    <row r="28" spans="1:11" ht="16.5" thickTop="1" thickBot="1" x14ac:dyDescent="0.3">
      <c r="A28" s="6" t="s">
        <v>28</v>
      </c>
      <c r="B28" s="5" t="s">
        <v>29</v>
      </c>
      <c r="C28" s="5"/>
      <c r="D28" s="5"/>
      <c r="E28" s="5"/>
      <c r="F28" s="5"/>
      <c r="G28" s="6" t="s">
        <v>32</v>
      </c>
      <c r="H28" s="2"/>
      <c r="I28" s="2"/>
      <c r="J28" s="2"/>
      <c r="K28" s="1"/>
    </row>
    <row r="29" spans="1:11" ht="16.5" thickTop="1" thickBot="1" x14ac:dyDescent="0.3">
      <c r="A29" s="7">
        <f>A6*C6</f>
        <v>48</v>
      </c>
      <c r="B29" s="7">
        <v>2</v>
      </c>
      <c r="C29" s="7"/>
      <c r="D29" s="5"/>
      <c r="E29" s="5"/>
      <c r="F29" s="5"/>
      <c r="G29" s="7">
        <f>A29+B29</f>
        <v>50</v>
      </c>
      <c r="H29" s="2"/>
      <c r="I29" s="2"/>
      <c r="J29" s="2"/>
      <c r="K29" s="1"/>
    </row>
    <row r="30" spans="1:11" ht="16.5" thickTop="1" thickBot="1" x14ac:dyDescent="0.3">
      <c r="A30" s="6" t="s">
        <v>30</v>
      </c>
      <c r="B30" s="3" t="s">
        <v>31</v>
      </c>
      <c r="C30" s="5" t="s">
        <v>32</v>
      </c>
      <c r="D30" s="5" t="s">
        <v>86</v>
      </c>
      <c r="E30" s="5" t="s">
        <v>29</v>
      </c>
      <c r="F30" s="5"/>
      <c r="G30" s="6" t="s">
        <v>61</v>
      </c>
      <c r="H30" s="2"/>
      <c r="I30" s="2"/>
      <c r="J30" s="2"/>
      <c r="K30" s="1"/>
    </row>
    <row r="31" spans="1:11" ht="16.5" thickTop="1" thickBot="1" x14ac:dyDescent="0.3">
      <c r="A31" s="7">
        <f>A23+A23+C21+C21+C21+C21</f>
        <v>34</v>
      </c>
      <c r="B31" s="7">
        <f>B21</f>
        <v>0.5</v>
      </c>
      <c r="C31" s="7">
        <f>A31*B31</f>
        <v>17</v>
      </c>
      <c r="D31" s="7">
        <f>ROUNDUP(C31,0)</f>
        <v>17</v>
      </c>
      <c r="E31" s="7">
        <v>2</v>
      </c>
      <c r="F31" s="5"/>
      <c r="G31" s="7">
        <f>D31+E31</f>
        <v>19</v>
      </c>
      <c r="H31" s="2"/>
      <c r="I31" s="2"/>
      <c r="J31" s="2"/>
      <c r="K31" s="1"/>
    </row>
    <row r="32" spans="1:11" ht="16.5" thickTop="1" thickBot="1" x14ac:dyDescent="0.3">
      <c r="A32" s="6" t="s">
        <v>74</v>
      </c>
      <c r="B32" s="5" t="s">
        <v>75</v>
      </c>
      <c r="C32" s="5" t="s">
        <v>86</v>
      </c>
      <c r="D32" s="5" t="s">
        <v>76</v>
      </c>
      <c r="E32" s="5" t="s">
        <v>33</v>
      </c>
      <c r="F32" s="5" t="s">
        <v>6</v>
      </c>
      <c r="G32" s="6" t="s">
        <v>62</v>
      </c>
      <c r="H32" s="2"/>
      <c r="I32" s="2"/>
      <c r="J32" s="2"/>
      <c r="K32" s="1"/>
    </row>
    <row r="33" spans="1:11" ht="16.5" thickTop="1" thickBot="1" x14ac:dyDescent="0.3">
      <c r="A33" s="7">
        <f>A6/2+0.5</f>
        <v>3.5</v>
      </c>
      <c r="B33" s="7">
        <f>C6/2.5</f>
        <v>3.2</v>
      </c>
      <c r="C33" s="7">
        <f>ROUNDUP(B33,0)</f>
        <v>4</v>
      </c>
      <c r="D33" s="7">
        <f>C33*2</f>
        <v>8</v>
      </c>
      <c r="E33" s="7" t="s">
        <v>5</v>
      </c>
      <c r="F33" s="5">
        <f>A33</f>
        <v>3.5</v>
      </c>
      <c r="G33" s="7">
        <f>D33*F33</f>
        <v>28</v>
      </c>
      <c r="H33" s="2"/>
      <c r="I33" s="2"/>
      <c r="J33" s="2"/>
      <c r="K33" s="1"/>
    </row>
    <row r="34" spans="1:11" ht="16.5" thickTop="1" thickBot="1" x14ac:dyDescent="0.3">
      <c r="A34" s="6" t="s">
        <v>63</v>
      </c>
      <c r="B34" s="5" t="s">
        <v>86</v>
      </c>
      <c r="C34" s="5" t="s">
        <v>34</v>
      </c>
      <c r="D34" s="5" t="s">
        <v>4</v>
      </c>
      <c r="E34" s="5" t="s">
        <v>6</v>
      </c>
      <c r="F34" s="5"/>
      <c r="G34" s="6" t="s">
        <v>64</v>
      </c>
      <c r="H34" s="2"/>
      <c r="I34" s="2"/>
      <c r="J34" s="2"/>
      <c r="K34" s="1"/>
    </row>
    <row r="35" spans="1:11" ht="16.5" thickTop="1" thickBot="1" x14ac:dyDescent="0.3">
      <c r="A35" s="7">
        <f>C6+B21+B21</f>
        <v>9</v>
      </c>
      <c r="B35" s="7">
        <f>ROUNDUP(A35,0)</f>
        <v>9</v>
      </c>
      <c r="C35" s="7">
        <v>5</v>
      </c>
      <c r="D35" s="7" t="s">
        <v>5</v>
      </c>
      <c r="E35" s="5">
        <f>B35</f>
        <v>9</v>
      </c>
      <c r="F35" s="5"/>
      <c r="G35" s="7">
        <f>E35*C35</f>
        <v>45</v>
      </c>
      <c r="H35" s="2"/>
      <c r="I35" s="2"/>
      <c r="J35" s="2"/>
      <c r="K35" s="1"/>
    </row>
    <row r="36" spans="1:11" ht="16.5" thickTop="1" thickBot="1" x14ac:dyDescent="0.3">
      <c r="A36" s="6" t="s">
        <v>35</v>
      </c>
      <c r="B36" s="5" t="s">
        <v>86</v>
      </c>
      <c r="C36" s="5" t="s">
        <v>33</v>
      </c>
      <c r="D36" s="5"/>
      <c r="E36" s="5"/>
      <c r="F36" s="5"/>
      <c r="G36" s="6" t="s">
        <v>65</v>
      </c>
      <c r="H36" s="2"/>
      <c r="I36" s="2"/>
      <c r="J36" s="2"/>
      <c r="K36" s="1"/>
    </row>
    <row r="37" spans="1:11" ht="16.5" thickTop="1" thickBot="1" x14ac:dyDescent="0.3">
      <c r="A37" s="7">
        <f>C33*7.5</f>
        <v>30</v>
      </c>
      <c r="B37" s="7">
        <f>ROUNDUP(A37,0)</f>
        <v>30</v>
      </c>
      <c r="C37" s="5" t="s">
        <v>5</v>
      </c>
      <c r="D37" s="5"/>
      <c r="E37" s="5"/>
      <c r="F37" s="5"/>
      <c r="G37" s="7">
        <f>B37</f>
        <v>30</v>
      </c>
      <c r="H37" s="2"/>
      <c r="I37" s="2"/>
      <c r="J37" s="2"/>
      <c r="K37" s="1"/>
    </row>
    <row r="38" spans="1:11" ht="16.5" thickTop="1" thickBot="1" x14ac:dyDescent="0.3">
      <c r="A38" s="6" t="s">
        <v>66</v>
      </c>
      <c r="B38" s="5" t="s">
        <v>8</v>
      </c>
      <c r="C38" s="5" t="s">
        <v>68</v>
      </c>
      <c r="D38" s="5" t="s">
        <v>4</v>
      </c>
      <c r="E38" s="5" t="s">
        <v>6</v>
      </c>
      <c r="F38" s="5"/>
      <c r="G38" s="6" t="s">
        <v>67</v>
      </c>
      <c r="H38" s="2"/>
      <c r="I38" s="2"/>
      <c r="J38" s="2"/>
      <c r="K38" s="1"/>
    </row>
    <row r="39" spans="1:11" ht="16.5" thickTop="1" thickBot="1" x14ac:dyDescent="0.3">
      <c r="A39" s="7">
        <f>C6/2.5</f>
        <v>3.2</v>
      </c>
      <c r="B39" s="7">
        <f>ROUNDUP(A39,0)</f>
        <v>4</v>
      </c>
      <c r="C39" s="7">
        <f>B39</f>
        <v>4</v>
      </c>
      <c r="D39" s="7" t="s">
        <v>5</v>
      </c>
      <c r="E39" s="5">
        <f>A6</f>
        <v>6</v>
      </c>
      <c r="F39" s="5"/>
      <c r="G39" s="7">
        <f>C39*E39</f>
        <v>24</v>
      </c>
      <c r="H39" s="2"/>
      <c r="I39" s="2"/>
      <c r="J39" s="2"/>
      <c r="K39" s="1"/>
    </row>
    <row r="40" spans="1:11" ht="16.5" thickTop="1" thickBot="1" x14ac:dyDescent="0.3">
      <c r="A40" s="6" t="s">
        <v>69</v>
      </c>
      <c r="B40" s="5" t="s">
        <v>6</v>
      </c>
      <c r="C40" s="5" t="s">
        <v>11</v>
      </c>
      <c r="D40" s="5" t="s">
        <v>37</v>
      </c>
      <c r="E40" s="5" t="s">
        <v>4</v>
      </c>
      <c r="F40" s="5"/>
      <c r="G40" s="6" t="s">
        <v>71</v>
      </c>
      <c r="H40" s="2"/>
      <c r="I40" s="2"/>
      <c r="J40" s="2"/>
      <c r="K40" s="1"/>
    </row>
    <row r="41" spans="1:11" ht="16.5" thickTop="1" thickBot="1" x14ac:dyDescent="0.3">
      <c r="A41" s="7">
        <f>C6/0.5+2</f>
        <v>18</v>
      </c>
      <c r="B41" s="7">
        <f>A6</f>
        <v>6</v>
      </c>
      <c r="C41" s="7">
        <f>A41*B41</f>
        <v>108</v>
      </c>
      <c r="D41" s="7">
        <v>10</v>
      </c>
      <c r="E41" s="7" t="s">
        <v>18</v>
      </c>
      <c r="F41" s="5">
        <f>C41+D41</f>
        <v>118</v>
      </c>
      <c r="G41" s="7">
        <f>F41</f>
        <v>118</v>
      </c>
      <c r="H41" s="2"/>
      <c r="I41" s="2"/>
      <c r="J41" s="2"/>
      <c r="K41" s="1"/>
    </row>
    <row r="42" spans="1:11" ht="16.5" thickTop="1" thickBot="1" x14ac:dyDescent="0.3">
      <c r="A42" s="6" t="s">
        <v>38</v>
      </c>
      <c r="B42" s="5" t="s">
        <v>39</v>
      </c>
      <c r="C42" s="5"/>
      <c r="D42" s="5"/>
      <c r="E42" s="5"/>
      <c r="F42" s="5"/>
      <c r="G42" s="6" t="s">
        <v>70</v>
      </c>
      <c r="H42" s="2"/>
      <c r="I42" s="2"/>
      <c r="J42" s="2"/>
      <c r="K42" s="1"/>
    </row>
    <row r="43" spans="1:11" ht="16.5" thickTop="1" thickBot="1" x14ac:dyDescent="0.3">
      <c r="A43" s="7">
        <f>F41/4</f>
        <v>29.5</v>
      </c>
      <c r="B43" s="7" t="s">
        <v>40</v>
      </c>
      <c r="C43" s="5"/>
      <c r="D43" s="5"/>
      <c r="E43" s="5"/>
      <c r="F43" s="5"/>
      <c r="G43" s="7">
        <f>A43</f>
        <v>29.5</v>
      </c>
      <c r="H43" s="2"/>
      <c r="I43" s="2"/>
      <c r="J43" s="2"/>
      <c r="K43" s="1"/>
    </row>
    <row r="44" spans="1:11" ht="16.5" thickTop="1" thickBot="1" x14ac:dyDescent="0.3">
      <c r="A44" s="6" t="s">
        <v>41</v>
      </c>
      <c r="B44" s="5" t="s">
        <v>36</v>
      </c>
      <c r="C44" s="5" t="s">
        <v>42</v>
      </c>
      <c r="D44" s="5"/>
      <c r="E44" s="5"/>
      <c r="F44" s="5"/>
      <c r="G44" s="6" t="s">
        <v>72</v>
      </c>
      <c r="H44" s="2"/>
      <c r="I44" s="2"/>
      <c r="J44" s="2"/>
      <c r="K44" s="1"/>
    </row>
    <row r="45" spans="1:11" ht="16.5" thickTop="1" thickBot="1" x14ac:dyDescent="0.3">
      <c r="A45" s="7">
        <f>A23+A23+C21+C21+C21+C21</f>
        <v>34</v>
      </c>
      <c r="B45" s="7">
        <v>2</v>
      </c>
      <c r="C45" s="7">
        <f>A45+B45</f>
        <v>36</v>
      </c>
      <c r="D45" s="5"/>
      <c r="E45" s="5"/>
      <c r="F45" s="5"/>
      <c r="G45" s="7">
        <f>C45</f>
        <v>36</v>
      </c>
      <c r="H45" s="2"/>
      <c r="I45" s="2"/>
      <c r="J45" s="2"/>
      <c r="K45" s="1"/>
    </row>
    <row r="46" spans="1:11" ht="16.5" thickTop="1" thickBot="1" x14ac:dyDescent="0.3">
      <c r="A46" s="6" t="s">
        <v>77</v>
      </c>
      <c r="B46" s="5" t="s">
        <v>12</v>
      </c>
      <c r="C46" s="5"/>
      <c r="D46" s="5"/>
      <c r="E46" s="5"/>
      <c r="F46" s="5"/>
      <c r="G46" s="6" t="s">
        <v>78</v>
      </c>
      <c r="H46" s="2"/>
      <c r="I46" s="2"/>
      <c r="J46" s="2"/>
      <c r="K46" s="1"/>
    </row>
    <row r="47" spans="1:11" ht="16.5" thickTop="1" thickBot="1" x14ac:dyDescent="0.3">
      <c r="A47" s="7">
        <f>A6+A6+C6+C6</f>
        <v>28</v>
      </c>
      <c r="B47" s="7">
        <f>D15*2</f>
        <v>0</v>
      </c>
      <c r="C47" s="5"/>
      <c r="D47" s="5"/>
      <c r="E47" s="5"/>
      <c r="F47" s="5"/>
      <c r="G47" s="7">
        <f>A47+B47</f>
        <v>28</v>
      </c>
      <c r="H47" s="2"/>
      <c r="I47" s="2"/>
      <c r="J47" s="2"/>
      <c r="K47" s="1"/>
    </row>
    <row r="48" spans="1:11" ht="16.5" thickTop="1" thickBot="1" x14ac:dyDescent="0.3">
      <c r="A48" s="6" t="s">
        <v>79</v>
      </c>
      <c r="B48" s="5" t="s">
        <v>12</v>
      </c>
      <c r="C48" s="5" t="s">
        <v>36</v>
      </c>
      <c r="D48" s="5"/>
      <c r="E48" s="5"/>
      <c r="F48" s="5"/>
      <c r="G48" s="6" t="s">
        <v>80</v>
      </c>
      <c r="H48" s="2"/>
      <c r="I48" s="2"/>
      <c r="J48" s="2"/>
      <c r="K48" s="1"/>
    </row>
    <row r="49" spans="1:11" ht="16.5" thickTop="1" thickBot="1" x14ac:dyDescent="0.3">
      <c r="A49" s="7">
        <f>A47</f>
        <v>28</v>
      </c>
      <c r="B49" s="7">
        <f>B47</f>
        <v>0</v>
      </c>
      <c r="C49" s="7">
        <v>10</v>
      </c>
      <c r="D49" s="5"/>
      <c r="E49" s="5"/>
      <c r="F49" s="5"/>
      <c r="G49" s="7">
        <f>A49+B49+C49</f>
        <v>38</v>
      </c>
      <c r="H49" s="2"/>
      <c r="I49" s="2"/>
      <c r="J49" s="2"/>
      <c r="K49" s="1"/>
    </row>
    <row r="50" spans="1:11" ht="16.5" thickTop="1" thickBot="1" x14ac:dyDescent="0.3">
      <c r="A50" s="6" t="s">
        <v>203</v>
      </c>
      <c r="B50" s="5" t="s">
        <v>204</v>
      </c>
      <c r="C50" s="5" t="s">
        <v>205</v>
      </c>
      <c r="D50" s="5"/>
      <c r="E50" s="5"/>
      <c r="F50" s="5" t="s">
        <v>219</v>
      </c>
      <c r="G50" s="6" t="s">
        <v>209</v>
      </c>
      <c r="H50" s="2"/>
      <c r="I50" s="2"/>
      <c r="J50" s="2"/>
      <c r="K50" s="1"/>
    </row>
    <row r="51" spans="1:11" ht="16.5" thickTop="1" thickBot="1" x14ac:dyDescent="0.3">
      <c r="A51" s="7">
        <f>(A6*C6)</f>
        <v>48</v>
      </c>
      <c r="B51" s="7">
        <f>ROUNDUP(A51+(A51*30%),0)</f>
        <v>63</v>
      </c>
      <c r="C51" s="7">
        <f>ROUNDUP(B51+(B51*30%),0)</f>
        <v>82</v>
      </c>
      <c r="D51" s="7"/>
      <c r="F51" s="7">
        <f>ROUNDUP(A23*3+2,0)</f>
        <v>29</v>
      </c>
      <c r="G51" s="7">
        <f>C51*17</f>
        <v>1394</v>
      </c>
      <c r="H51" s="2"/>
      <c r="I51" s="2"/>
      <c r="J51" s="2"/>
      <c r="K51" s="1"/>
    </row>
    <row r="52" spans="1:11" ht="16.5" thickTop="1" thickBot="1" x14ac:dyDescent="0.3">
      <c r="A52" s="6" t="s">
        <v>207</v>
      </c>
      <c r="B52" s="5" t="s">
        <v>204</v>
      </c>
      <c r="C52" s="5" t="s">
        <v>205</v>
      </c>
      <c r="D52" s="5"/>
      <c r="E52" s="5"/>
      <c r="F52" s="5" t="s">
        <v>219</v>
      </c>
      <c r="G52" s="6" t="s">
        <v>210</v>
      </c>
      <c r="H52" s="2"/>
      <c r="I52" s="2"/>
      <c r="J52" s="2"/>
      <c r="K52" s="1"/>
    </row>
    <row r="53" spans="1:11" ht="16.5" thickTop="1" thickBot="1" x14ac:dyDescent="0.3">
      <c r="A53" s="7">
        <f>A6*C6</f>
        <v>48</v>
      </c>
      <c r="B53" s="7">
        <f>ROUNDUP(A53+(A53*30%),0)</f>
        <v>63</v>
      </c>
      <c r="C53" s="7">
        <f>ROUNDUP(B53+(B53*30%),0)</f>
        <v>82</v>
      </c>
      <c r="D53" s="7"/>
      <c r="F53" s="7">
        <f>ROUNDUP(A23*3+2,0)</f>
        <v>29</v>
      </c>
      <c r="G53" s="7">
        <f>C53*12</f>
        <v>984</v>
      </c>
      <c r="H53" s="2"/>
      <c r="I53" s="2"/>
      <c r="J53" s="2"/>
      <c r="K53" s="1"/>
    </row>
    <row r="54" spans="1:11" ht="16.5" thickTop="1" thickBot="1" x14ac:dyDescent="0.3">
      <c r="A54" s="6" t="s">
        <v>208</v>
      </c>
      <c r="B54" s="5"/>
      <c r="C54" s="5"/>
      <c r="D54" s="5"/>
      <c r="E54" s="5"/>
      <c r="F54" s="5" t="s">
        <v>219</v>
      </c>
      <c r="G54" s="6" t="s">
        <v>211</v>
      </c>
      <c r="H54" s="2"/>
      <c r="I54" s="2"/>
      <c r="J54" s="2"/>
      <c r="K54" s="1"/>
    </row>
    <row r="55" spans="1:11" ht="16.5" thickTop="1" thickBot="1" x14ac:dyDescent="0.3">
      <c r="A55" s="7">
        <f>ROUNDUP(A23/0.45,0)</f>
        <v>20</v>
      </c>
      <c r="B55" s="7"/>
      <c r="C55" s="7">
        <f>ROUNDUP(G21/2.44,0)</f>
        <v>2</v>
      </c>
      <c r="D55" s="7"/>
      <c r="F55" s="7">
        <f>ROUNDUP(A23/0.45,0)</f>
        <v>20</v>
      </c>
      <c r="G55" s="7">
        <f>A55*C55*2</f>
        <v>80</v>
      </c>
      <c r="H55" s="2"/>
      <c r="I55" s="2"/>
      <c r="J55" s="2"/>
      <c r="K55" s="1"/>
    </row>
    <row r="56" spans="1:11" ht="16.5" thickTop="1" thickBot="1" x14ac:dyDescent="0.3">
      <c r="A56" s="6" t="s">
        <v>212</v>
      </c>
      <c r="B56" s="5"/>
      <c r="C56" s="5"/>
      <c r="D56" s="5"/>
      <c r="E56" s="5"/>
      <c r="F56" s="5" t="s">
        <v>219</v>
      </c>
      <c r="G56" s="6" t="s">
        <v>213</v>
      </c>
      <c r="H56" s="2"/>
      <c r="I56" s="2"/>
      <c r="J56" s="2"/>
      <c r="K56" s="1"/>
    </row>
    <row r="57" spans="1:11" ht="16.5" thickTop="1" thickBot="1" x14ac:dyDescent="0.3">
      <c r="A57" s="7">
        <f>C6</f>
        <v>8</v>
      </c>
      <c r="B57" s="7"/>
      <c r="C57" s="7">
        <f>ROUNDUP(G21/2.44,0)</f>
        <v>2</v>
      </c>
      <c r="D57" s="7"/>
      <c r="E57" s="5"/>
      <c r="F57" s="7">
        <f>ROUNDUP(A23*3+2,0)</f>
        <v>29</v>
      </c>
      <c r="G57" s="7">
        <f>A57*C57*2</f>
        <v>32</v>
      </c>
      <c r="H57" s="2"/>
      <c r="I57" s="2"/>
      <c r="J57" s="2"/>
      <c r="K57" s="1"/>
    </row>
    <row r="58" spans="1:11" ht="15.75" thickTop="1" x14ac:dyDescent="0.25"/>
    <row r="59" spans="1:11" x14ac:dyDescent="0.25">
      <c r="A59" s="80" t="s">
        <v>82</v>
      </c>
      <c r="B59" s="80"/>
      <c r="C59" s="80"/>
      <c r="D59" s="80"/>
    </row>
    <row r="60" spans="1:11" x14ac:dyDescent="0.25">
      <c r="A60" s="80"/>
      <c r="B60" s="80"/>
      <c r="C60" s="80"/>
      <c r="D60" s="80"/>
    </row>
    <row r="61" spans="1:11" x14ac:dyDescent="0.25">
      <c r="A61" s="80"/>
      <c r="B61" s="80"/>
      <c r="C61" s="80"/>
      <c r="D61" s="80"/>
    </row>
    <row r="62" spans="1:11" x14ac:dyDescent="0.25">
      <c r="A62" s="11"/>
      <c r="B62" s="11"/>
      <c r="C62" s="11"/>
      <c r="D62" s="11"/>
      <c r="E62" s="11"/>
    </row>
    <row r="63" spans="1:11" x14ac:dyDescent="0.25">
      <c r="C63" s="12"/>
    </row>
    <row r="64" spans="1:11" x14ac:dyDescent="0.25">
      <c r="C64" s="12"/>
    </row>
    <row r="65" spans="2:3" x14ac:dyDescent="0.25">
      <c r="B65" s="9"/>
      <c r="C65" s="12"/>
    </row>
    <row r="67" spans="2:3" x14ac:dyDescent="0.25">
      <c r="C67" s="13"/>
    </row>
    <row r="71" spans="2:3" x14ac:dyDescent="0.25">
      <c r="C71" s="9"/>
    </row>
  </sheetData>
  <mergeCells count="3">
    <mergeCell ref="A59:D61"/>
    <mergeCell ref="A1:K2"/>
    <mergeCell ref="A3:K4"/>
  </mergeCells>
  <pageMargins left="0.511811024" right="0.511811024" top="0.78740157499999996" bottom="0.78740157499999996" header="0.31496062000000002" footer="0.31496062000000002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Formulário</vt:lpstr>
      <vt:lpstr>Resultado</vt:lpstr>
      <vt:lpstr>Dados</vt:lpstr>
      <vt:lpstr>Giox</vt:lpstr>
      <vt:lpstr>Engine</vt:lpstr>
    </vt:vector>
  </TitlesOfParts>
  <Company>Santos Madeiras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Vendedor</dc:creator>
  <cp:lastModifiedBy>Carlos Martini</cp:lastModifiedBy>
  <cp:lastPrinted>2016-01-06T13:42:56Z</cp:lastPrinted>
  <dcterms:created xsi:type="dcterms:W3CDTF">2013-04-12T13:55:29Z</dcterms:created>
  <dcterms:modified xsi:type="dcterms:W3CDTF">2016-03-28T20:59:47Z</dcterms:modified>
</cp:coreProperties>
</file>